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Settings" sheetId="2" state="visible" r:id="rId2"/>
    <sheet name="Students" sheetId="3" state="visible" r:id="rId3"/>
    <sheet name="Summary" sheetId="4" state="visible" r:id="rId4"/>
  </sheets>
  <definedNames>
    <definedName name="_xlnm._FilterDatabase" localSheetId="2" hidden="1">'Students'!$A$1:$V$201</definedName>
    <definedName name="_xlnm.Print_Titles" localSheetId="2">'Students'!$1:$1</definedName>
  </definedNames>
  <calcPr calcId="124519" calcMode="auto" fullCalcOnLoad="1" forceFullCalc="1"/>
</workbook>
</file>

<file path=xl/styles.xml><?xml version="1.0" encoding="utf-8"?>
<styleSheet xmlns="http://schemas.openxmlformats.org/spreadsheetml/2006/main">
  <numFmts count="3">
    <numFmt numFmtId="164" formatCode="yyyy-mm-dd"/>
    <numFmt numFmtId="165" formatCode="0.0%"/>
    <numFmt numFmtId="166" formatCode="0&quot; / 100&quot;"/>
  </numFmts>
  <fonts count="9">
    <font>
      <name val="Calibri"/>
      <family val="2"/>
      <color theme="1"/>
      <sz val="11"/>
      <scheme val="minor"/>
    </font>
    <font>
      <name val="Aptos Display"/>
      <b val="1"/>
      <color rgb="0017324D"/>
      <sz val="20"/>
    </font>
    <font>
      <name val="Aptos"/>
      <b val="1"/>
      <color rgb="0017324D"/>
      <sz val="11"/>
    </font>
    <font>
      <name val="Calibri"/>
      <family val="2"/>
      <color theme="10"/>
      <sz val="12"/>
      <scheme val="minor"/>
    </font>
    <font>
      <name val="Aptos"/>
      <color rgb="0017324D"/>
      <sz val="9"/>
      <u val="single"/>
    </font>
    <font>
      <name val="Aptos Display"/>
      <b val="1"/>
      <color rgb="0017324D"/>
      <sz val="18"/>
    </font>
    <font>
      <name val="Aptos"/>
      <b val="1"/>
      <color rgb="00FFFFFF"/>
      <sz val="10"/>
    </font>
    <font>
      <name val="Aptos"/>
      <color rgb="0023313F"/>
    </font>
    <font>
      <name val="Aptos"/>
      <b val="1"/>
      <color rgb="0017324D"/>
    </font>
  </fonts>
  <fills count="5">
    <fill>
      <patternFill/>
    </fill>
    <fill>
      <patternFill patternType="gray125"/>
    </fill>
    <fill>
      <patternFill patternType="solid">
        <fgColor rgb="0017324D"/>
      </patternFill>
    </fill>
    <fill>
      <patternFill patternType="solid">
        <fgColor rgb="00FFF2CC"/>
      </patternFill>
    </fill>
    <fill>
      <patternFill patternType="solid">
        <fgColor rgb="00E7E6E6"/>
      </patternFill>
    </fill>
  </fills>
  <borders count="2">
    <border>
      <left/>
      <right/>
      <top/>
      <bottom/>
      <diagonal/>
    </border>
    <border>
      <bottom style="medium">
        <color rgb="0010273C"/>
      </bottom>
    </border>
  </borders>
  <cellStyleXfs count="2">
    <xf numFmtId="0" fontId="0" fillId="0" borderId="0"/>
    <xf numFmtId="0" fontId="3" fillId="0" borderId="0"/>
  </cellStyleXfs>
  <cellXfs count="17">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4" fillId="0" borderId="0" applyAlignment="1" pivotButton="0" quotePrefix="0" xfId="1">
      <alignment horizontal="left" vertical="top" wrapText="1"/>
    </xf>
    <xf numFmtId="0" fontId="5" fillId="0" borderId="0" applyAlignment="1" pivotButton="0" quotePrefix="0" xfId="0">
      <alignment vertical="top" wrapText="1"/>
    </xf>
    <xf numFmtId="0" fontId="6" fillId="2" borderId="1" applyAlignment="1" pivotButton="0" quotePrefix="0" xfId="0">
      <alignment vertical="top" wrapText="1"/>
    </xf>
    <xf numFmtId="164" fontId="7" fillId="3" borderId="0" applyAlignment="1" pivotButton="0" quotePrefix="0" xfId="0">
      <alignment horizontal="center" vertical="top"/>
    </xf>
    <xf numFmtId="0" fontId="7" fillId="3" borderId="0" applyAlignment="1" pivotButton="0" quotePrefix="0" xfId="0">
      <alignment vertical="top" wrapText="1"/>
    </xf>
    <xf numFmtId="164" fontId="7" fillId="3" borderId="0" applyAlignment="1" pivotButton="0" quotePrefix="0" xfId="0">
      <alignment vertical="top"/>
    </xf>
    <xf numFmtId="1" fontId="7" fillId="3" borderId="0" applyAlignment="1" pivotButton="0" quotePrefix="0" xfId="0">
      <alignment vertical="top"/>
    </xf>
    <xf numFmtId="1" fontId="7" fillId="4" borderId="0" applyAlignment="1" pivotButton="0" quotePrefix="0" xfId="0">
      <alignment vertical="top"/>
    </xf>
    <xf numFmtId="0" fontId="7" fillId="4" borderId="0" applyAlignment="1" pivotButton="0" quotePrefix="0" xfId="0">
      <alignment vertical="top"/>
    </xf>
    <xf numFmtId="0" fontId="7" fillId="3" borderId="0" applyAlignment="1" pivotButton="0" quotePrefix="0" xfId="0">
      <alignment vertical="top"/>
    </xf>
    <xf numFmtId="0" fontId="8" fillId="0" borderId="0" applyAlignment="1" pivotButton="0" quotePrefix="0" xfId="0">
      <alignment vertical="top" wrapText="1"/>
    </xf>
    <xf numFmtId="165" fontId="7" fillId="4" borderId="0" applyAlignment="1" pivotButton="0" quotePrefix="0" xfId="0">
      <alignment vertical="top"/>
    </xf>
    <xf numFmtId="166" fontId="7" fillId="4" borderId="0" applyAlignment="1" pivotButton="0" quotePrefix="0" xfId="0">
      <alignment vertical="top"/>
    </xf>
  </cellXfs>
  <cellStyles count="2">
    <cellStyle name="Normal" xfId="0" builtinId="0" hidden="0"/>
    <cellStyle name="Hyperlink" xfId="1" builtinId="8" hidden="0"/>
  </cellStyles>
  <dxfs count="3">
    <dxf>
      <fill>
        <patternFill patternType="solid">
          <fgColor rgb="00E2F0D9"/>
        </patternFill>
      </fill>
    </dxf>
    <dxf>
      <fill>
        <patternFill patternType="solid">
          <fgColor rgb="00FFF2CC"/>
        </patternFill>
      </fill>
    </dxf>
    <dxf>
      <fill>
        <patternFill patternType="solid">
          <fgColor rgb="00FCE4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emo.gymclass.cc" TargetMode="External" Id="rId1" /></Relationships>
</file>

<file path=xl/worksheets/_rels/sheet2.xml.rels><Relationships xmlns="http://schemas.openxmlformats.org/package/2006/relationships"><Relationship Type="http://schemas.openxmlformats.org/officeDocument/2006/relationships/hyperlink" Target="https://demo.gymclass.cc" TargetMode="External" Id="rId1" /></Relationships>
</file>

<file path=xl/worksheets/_rels/sheet3.xml.rels><Relationships xmlns="http://schemas.openxmlformats.org/package/2006/relationships"><Relationship Type="http://schemas.openxmlformats.org/officeDocument/2006/relationships/hyperlink" Target="https://demo.gymclass.cc" TargetMode="External" Id="rId1" /></Relationships>
</file>

<file path=xl/worksheets/_rels/sheet4.xml.rels><Relationships xmlns="http://schemas.openxmlformats.org/package/2006/relationships"><Relationship Type="http://schemas.openxmlformats.org/officeDocument/2006/relationships/hyperlink" Target="https://demo.gymclass.cc" TargetMode="External" Id="rId1" /></Relationships>
</file>

<file path=xl/worksheets/sheet1.xml><?xml version="1.0" encoding="utf-8"?>
<worksheet xmlns="http://schemas.openxmlformats.org/spreadsheetml/2006/main">
  <sheetPr>
    <outlinePr summaryBelow="1" summaryRight="1"/>
    <pageSetUpPr fitToPage="1"/>
  </sheetPr>
  <dimension ref="A1:D13"/>
  <sheetViews>
    <sheetView showGridLines="0" workbookViewId="0">
      <pane ySplit="3" topLeftCell="A4" activePane="bottomLeft" state="frozen"/>
      <selection pane="bottomLeft" activeCell="A1" sqref="A1"/>
    </sheetView>
  </sheetViews>
  <sheetFormatPr baseColWidth="8" defaultRowHeight="15"/>
  <cols>
    <col width="40" customWidth="1" min="1" max="1"/>
    <col width="24" customWidth="1" min="2" max="2"/>
    <col width="24" customWidth="1" min="3" max="3"/>
    <col width="24" customWidth="1" min="4" max="4"/>
  </cols>
  <sheetData>
    <row r="1" ht="32" customHeight="1">
      <c r="A1" s="1" t="inlineStr">
        <is>
          <t>Risk Radar</t>
        </is>
      </c>
    </row>
    <row r="2" ht="30" customHeight="1">
      <c r="A2" s="2" t="inlineStr">
        <is>
          <t>Use this weekly worksheet to compare each student's recent attendance with their own history, then follow up personally. Replace the sample rows with your students.</t>
        </is>
      </c>
    </row>
    <row r="3"/>
    <row r="4" ht="64" customHeight="1">
      <c r="A4" s="3" t="inlineStr">
        <is>
          <t>Start here</t>
        </is>
      </c>
      <c r="B4" s="2" t="inlineStr">
        <is>
          <t>On Settings, set Today in B3. On Students, enter each student's name, joined date, last attended date, visits in the last 28 days (A), visits in days 29–112 (B), and visits in days 29–56 (C, included in B). Add no-shows, plan status, pauses in the last 90 days, and overdue invoices.</t>
        </is>
      </c>
    </row>
    <row r="5" ht="48" customHeight="1">
      <c r="A5" s="3" t="inlineStr">
        <is>
          <t>Attendance drop (up to 30 points)</t>
        </is>
      </c>
      <c r="B5" s="2" t="inlineStr">
        <is>
          <t>Compares weekly pace in the last 28 days (A ÷ 4) with the previous 12 weeks (B ÷ 12). It scores only when the prior pace was at least 0.75 visits per week and the drop is at least 30%.</t>
        </is>
      </c>
    </row>
    <row r="6" ht="45" customHeight="1">
      <c r="A6" s="3" t="inlineStr">
        <is>
          <t>Days since visit (0–20 points)</t>
        </is>
      </c>
      <c r="B6" s="2" t="inlineStr">
        <is>
          <t>A recent attendance gap moves through 0, 6, 12, 18, or 20 points at 7, 14, 21, and 35 days. No attendance history after the first 14 days adds 12 points.</t>
        </is>
      </c>
    </row>
    <row r="7" ht="48" customHeight="1">
      <c r="A7" s="3" t="inlineStr">
        <is>
          <t>Cadence change (10 points)</t>
        </is>
      </c>
      <c r="B7" s="2" t="inlineStr">
        <is>
          <t>Catches a sharp fall that the longer baseline can miss: at least two visits in days 29–56, then a 50% or greater drop in the latest 28 days, with no attendance-drop contribution.</t>
        </is>
      </c>
    </row>
    <row r="8" ht="75" customHeight="1">
      <c r="A8" s="3" t="inlineStr">
        <is>
          <t>Other signals</t>
        </is>
      </c>
      <c r="B8" s="2" t="inlineStr">
        <is>
          <t>No-shows add 8 each, capped at 16. A current pause adds 14; a pause in the last 90 days adds 6. An ended plan adds 30. Overdue invoices add 8 each, capped at 15. Members in their first 90 days get a rounded 25% boost on attendance-derived points; the first 14 days suppress attendance signals.</t>
        </is>
      </c>
    </row>
    <row r="9" ht="64" customHeight="1">
      <c r="A9" s="3" t="inlineStr">
        <is>
          <t>Scope</t>
        </is>
      </c>
      <c r="B9" s="2" t="inlineStr">
        <is>
          <t>This is the manual subset of GymClass Churn Score 2.0. Voided invoices/payments and email engagement decay are intentionally omitted from this sheet and treated as zero. The app uses four bands (Low, Watch, High, Critical); this sheet combines High and Critical into At-risk.</t>
        </is>
      </c>
    </row>
    <row r="10" ht="48" customHeight="1">
      <c r="A10" s="3" t="inlineStr">
        <is>
          <t>Weekly routine</t>
        </is>
      </c>
      <c r="B10" s="2" t="inlineStr">
        <is>
          <t>Sort Students by Score, contact the five highest-scoring students, and log the date, reason, and next step in your usual notes. Check whether the student returned within your chosen follow-up window.</t>
        </is>
      </c>
    </row>
    <row r="11" ht="90" customHeight="1">
      <c r="A11" s="3" t="inlineStr">
        <is>
          <t>How GymClass does it</t>
        </is>
      </c>
      <c r="B11" s="2" t="inlineStr">
        <is>
          <t>On Students, GymClass shows a “Churn risk” badge and “Churn risk” filter with the “Why this score” breakdown. Use “Send re-engagement email,” “Offer pause instead of cancel,” “Flag for coach follow-up,” or “Mark contacted”; intervention history records return outcomes within the academy return window. The dashboard also includes “At risk,” “Inactive,” and “Academy health.”</t>
        </is>
      </c>
    </row>
    <row r="12"/>
    <row r="13" ht="15" customHeight="1">
      <c r="A13" s="4" t="inlineStr">
        <is>
          <t>GymClass · Try the live demo → https://demo.gymclass.cc</t>
        </is>
      </c>
    </row>
  </sheetData>
  <mergeCells count="11">
    <mergeCell ref="B10:D10"/>
    <mergeCell ref="A1:D1"/>
    <mergeCell ref="B11:D11"/>
    <mergeCell ref="B5:D5"/>
    <mergeCell ref="B8:D8"/>
    <mergeCell ref="B4:D4"/>
    <mergeCell ref="B9:D9"/>
    <mergeCell ref="A2:D2"/>
    <mergeCell ref="B7:D7"/>
    <mergeCell ref="B6:D6"/>
    <mergeCell ref="A13:D13"/>
  </mergeCells>
  <hyperlinks>
    <hyperlink xmlns:r="http://schemas.openxmlformats.org/officeDocument/2006/relationships" ref="A13" r:id="rId1"/>
  </hyperlinks>
  <pageMargins left="0.25" right="0.25" top="0.5" bottom="0.5" header="0.5" footer="0.5"/>
  <pageSetup fitToHeight="0" fitToWidth="1"/>
  <headerFooter>
    <oddHeader/>
    <oddFooter>&amp;C&amp;"Arial,Regular"&amp;8 GymClass · Try the live demo → https://demo.gymclass.cc</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showGridLines="0" workbookViewId="0">
      <pane ySplit="1" topLeftCell="A2" activePane="bottomLeft" state="frozen"/>
      <selection pane="bottomLeft" activeCell="A1" sqref="A1"/>
    </sheetView>
  </sheetViews>
  <sheetFormatPr baseColWidth="8" defaultRowHeight="15"/>
  <cols>
    <col width="22" customWidth="1" min="1" max="1"/>
    <col width="18" customWidth="1" min="2" max="2"/>
    <col width="62" customWidth="1" min="3" max="3"/>
  </cols>
  <sheetData>
    <row r="1" ht="24" customHeight="1">
      <c r="A1" s="5" t="inlineStr">
        <is>
          <t>Risk Radar</t>
        </is>
      </c>
    </row>
    <row r="2" ht="34" customHeight="1">
      <c r="A2" s="6" t="inlineStr">
        <is>
          <t>Setting</t>
        </is>
      </c>
      <c r="B2" s="6" t="inlineStr">
        <is>
          <t>Value</t>
        </is>
      </c>
      <c r="C2" s="6" t="inlineStr">
        <is>
          <t>Notes</t>
        </is>
      </c>
    </row>
    <row r="3" ht="15" customHeight="1">
      <c r="A3" s="2" t="inlineStr">
        <is>
          <t>Today</t>
        </is>
      </c>
      <c r="B3" s="7">
        <f>TODAY()</f>
        <v/>
      </c>
      <c r="C3" s="2" t="inlineStr">
        <is>
          <t>Override this date to review a past or future snapshot.</t>
        </is>
      </c>
    </row>
    <row r="4"/>
    <row r="5" ht="15" customHeight="1">
      <c r="A5" s="4" t="inlineStr">
        <is>
          <t>GymClass · Try the live demo → https://demo.gymclass.cc</t>
        </is>
      </c>
    </row>
  </sheetData>
  <mergeCells count="2">
    <mergeCell ref="A1:C1"/>
    <mergeCell ref="A5:C5"/>
  </mergeCells>
  <hyperlinks>
    <hyperlink xmlns:r="http://schemas.openxmlformats.org/officeDocument/2006/relationships" ref="A5" r:id="rId1"/>
  </hyperlinks>
  <pageMargins left="0.25" right="0.25" top="0.5" bottom="0.5" header="0.5" footer="0.5"/>
  <pageSetup fitToHeight="0" fitToWidth="1"/>
  <headerFooter>
    <oddHeader/>
    <oddFooter>&amp;C&amp;"Arial,Regular"&amp;8 GymClass · Try the live demo → https://demo.gymclass.cc</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V203"/>
  <sheetViews>
    <sheetView workbookViewId="0">
      <pane ySplit="1" topLeftCell="A2" activePane="bottomLeft" state="frozen"/>
      <selection pane="bottomLeft" activeCell="A1" sqref="A1"/>
    </sheetView>
  </sheetViews>
  <sheetFormatPr baseColWidth="8" defaultRowHeight="15"/>
  <cols>
    <col width="22" customWidth="1" min="1" max="1"/>
    <col width="15" customWidth="1" min="2" max="2"/>
    <col width="16" customWidth="1" min="3" max="3"/>
    <col width="20" customWidth="1" min="4" max="4"/>
    <col width="21" customWidth="1" min="5" max="5"/>
    <col width="21" customWidth="1" min="6" max="6"/>
    <col width="20" customWidth="1" min="7" max="7"/>
    <col width="16" customWidth="1" min="8" max="8"/>
    <col width="19" customWidth="1" min="9" max="9"/>
    <col width="17" customWidth="1" min="10" max="10"/>
    <col width="15" customWidth="1" min="11" max="11"/>
    <col width="18" customWidth="1" min="12" max="12"/>
    <col width="20" customWidth="1" min="13" max="13"/>
    <col width="17" customWidth="1" min="14" max="14"/>
    <col width="14" customWidth="1" min="15" max="15"/>
    <col width="13" customWidth="1" min="16" max="16"/>
    <col width="15" customWidth="1" min="17" max="17"/>
    <col width="15" customWidth="1" min="18" max="18"/>
    <col width="22" customWidth="1" min="19" max="19"/>
    <col width="12" customWidth="1" min="20" max="20"/>
    <col width="14" customWidth="1" min="21" max="21"/>
    <col width="27" customWidth="1" min="22" max="22"/>
  </cols>
  <sheetData>
    <row r="1" ht="34" customHeight="1">
      <c r="A1" s="6" t="inlineStr">
        <is>
          <t>Name</t>
        </is>
      </c>
      <c r="B1" s="6" t="inlineStr">
        <is>
          <t>Joined date</t>
        </is>
      </c>
      <c r="C1" s="6" t="inlineStr">
        <is>
          <t>Last attended</t>
        </is>
      </c>
      <c r="D1" s="6" t="inlineStr">
        <is>
          <t>Visits last 28 days (A)</t>
        </is>
      </c>
      <c r="E1" s="6" t="inlineStr">
        <is>
          <t>Visits days 29–112 (B)</t>
        </is>
      </c>
      <c r="F1" s="6" t="inlineStr">
        <is>
          <t>Visits days 29–56 (C)</t>
        </is>
      </c>
      <c r="G1" s="6" t="inlineStr">
        <is>
          <t>No-shows last 28 days</t>
        </is>
      </c>
      <c r="H1" s="6" t="inlineStr">
        <is>
          <t>Plan status</t>
        </is>
      </c>
      <c r="I1" s="6" t="inlineStr">
        <is>
          <t>Pauses last 90 days</t>
        </is>
      </c>
      <c r="J1" s="6" t="inlineStr">
        <is>
          <t>Overdue invoices</t>
        </is>
      </c>
      <c r="K1" s="6" t="inlineStr">
        <is>
          <t>Tenure days</t>
        </is>
      </c>
      <c r="L1" s="6" t="inlineStr">
        <is>
          <t>Attendance drop</t>
        </is>
      </c>
      <c r="M1" s="6" t="inlineStr">
        <is>
          <t>Days since visit</t>
        </is>
      </c>
      <c r="N1" s="6" t="inlineStr">
        <is>
          <t>Cadence change</t>
        </is>
      </c>
      <c r="O1" s="6" t="inlineStr">
        <is>
          <t>No-shows</t>
        </is>
      </c>
      <c r="P1" s="6" t="inlineStr">
        <is>
          <t>Pause</t>
        </is>
      </c>
      <c r="Q1" s="6" t="inlineStr">
        <is>
          <t>Plan ended</t>
        </is>
      </c>
      <c r="R1" s="6" t="inlineStr">
        <is>
          <t>Billing</t>
        </is>
      </c>
      <c r="S1" s="6" t="inlineStr">
        <is>
          <t>New-member boost</t>
        </is>
      </c>
      <c r="T1" s="6" t="inlineStr">
        <is>
          <t>Score</t>
        </is>
      </c>
      <c r="U1" s="6" t="inlineStr">
        <is>
          <t>Band</t>
        </is>
      </c>
      <c r="V1" s="6" t="inlineStr">
        <is>
          <t>Top reason</t>
        </is>
      </c>
    </row>
    <row r="2" ht="15" customHeight="1">
      <c r="A2" s="8" t="inlineStr">
        <is>
          <t>Ana Silva</t>
        </is>
      </c>
      <c r="B2" s="9">
        <f>'Settings'!$B$3-180</f>
        <v/>
      </c>
      <c r="C2" s="9">
        <f>'Settings'!$B$3-30</f>
        <v/>
      </c>
      <c r="D2" s="10" t="n">
        <v>2</v>
      </c>
      <c r="E2" s="10" t="n">
        <v>36</v>
      </c>
      <c r="F2" s="10" t="n">
        <v>12</v>
      </c>
      <c r="G2" s="10" t="n">
        <v>1</v>
      </c>
      <c r="H2" s="8" t="inlineStr">
        <is>
          <t>Active</t>
        </is>
      </c>
      <c r="I2" s="10" t="n">
        <v>0</v>
      </c>
      <c r="J2" s="10" t="n">
        <v>1</v>
      </c>
      <c r="K2" s="11">
        <f>IF($A2="","",IF($B2="","",MAX(0,'Settings'!$B$3-$B2)))</f>
        <v/>
      </c>
      <c r="L2" s="11">
        <f>IF($A2="","",IF(OR($H2="Paused",AND($B2&lt;&gt;"",'Settings'!$B$3-$B2&lt;=14)),0,IF($E2/12&gt;=0.75,IF(1-($D2/4)/($E2/12)&gt;=0.3,ROUND(30*(1-($D2/4)/($E2/12)),0),0),0)))</f>
        <v/>
      </c>
      <c r="M2" s="11">
        <f>IF($A2="","",IF(OR($H2="Paused",AND($B2&lt;&gt;"",'Settings'!$B$3-$B2&lt;=14)),0,IF($C2="",12,IF(MAX(0,'Settings'!$B$3-$C2)&lt;=7,0,IF(MAX(0,'Settings'!$B$3-$C2)&lt;=14,6,IF(MAX(0,'Settings'!$B$3-$C2)&lt;=21,12,IF(MAX(0,'Settings'!$B$3-$C2)&lt;=35,18,20)))))))</f>
        <v/>
      </c>
      <c r="N2" s="11">
        <f>IF($A2="","",IF(AND($H2&lt;&gt;"Paused",OR($B2="",'Settings'!$B$3-$B2&gt;14),$L2=0,IF($F2&gt;=2,1-$D2/$F2&gt;=0.5,FALSE)),10,0))</f>
        <v/>
      </c>
      <c r="O2" s="11">
        <f>IF($A2="","",MIN(16,$G2*8))</f>
        <v/>
      </c>
      <c r="P2" s="11">
        <f>IF($A2="","",IF($H2="Paused",14,IF($I2&gt;0,6,0)))</f>
        <v/>
      </c>
      <c r="Q2" s="11">
        <f>IF($A2="","",IF($H2="Ended",30,0))</f>
        <v/>
      </c>
      <c r="R2" s="11">
        <f>IF($A2="","",MIN(15,$J2*8))</f>
        <v/>
      </c>
      <c r="S2" s="11">
        <f>IF($A2="","",IF(AND($B2&lt;&gt;"",$K2&lt;90,SUM($L2:$N2)&gt;0),ROUND(0.25*SUM($L2:$N2),0),0))</f>
        <v/>
      </c>
      <c r="T2" s="11">
        <f>IF($A2="","",MIN(100,SUM($L2:$S2)))</f>
        <v/>
      </c>
      <c r="U2" s="12">
        <f>IF($A2="","",IF($T2&lt;25,"Safe",IF($T2&lt;50,"Watch","At-risk")))</f>
        <v/>
      </c>
      <c r="V2" s="12">
        <f>IF($A2="","",IF($T2=0,"—",INDEX($L$1:$S$1,1,MATCH(MAX($L2:$S2),$L2:$S2,0))))</f>
        <v/>
      </c>
    </row>
    <row r="3" ht="15" customHeight="1">
      <c r="A3" s="8" t="inlineStr">
        <is>
          <t>Luis Romero</t>
        </is>
      </c>
      <c r="B3" s="9">
        <f>'Settings'!$B$3-34</f>
        <v/>
      </c>
      <c r="C3" s="9">
        <f>'Settings'!$B$3-16</f>
        <v/>
      </c>
      <c r="D3" s="10" t="n">
        <v>2</v>
      </c>
      <c r="E3" s="10" t="n">
        <v>20</v>
      </c>
      <c r="F3" s="10" t="n">
        <v>8</v>
      </c>
      <c r="G3" s="10" t="n">
        <v>0</v>
      </c>
      <c r="H3" s="8" t="inlineStr">
        <is>
          <t>Active</t>
        </is>
      </c>
      <c r="I3" s="10" t="n">
        <v>0</v>
      </c>
      <c r="J3" s="10" t="n">
        <v>0</v>
      </c>
      <c r="K3" s="11">
        <f>IF($A3="","",IF($B3="","",MAX(0,'Settings'!$B$3-$B3)))</f>
        <v/>
      </c>
      <c r="L3" s="11">
        <f>IF($A3="","",IF(OR($H3="Paused",AND($B3&lt;&gt;"",'Settings'!$B$3-$B3&lt;=14)),0,IF($E3/12&gt;=0.75,IF(1-($D3/4)/($E3/12)&gt;=0.3,ROUND(30*(1-($D3/4)/($E3/12)),0),0),0)))</f>
        <v/>
      </c>
      <c r="M3" s="11">
        <f>IF($A3="","",IF(OR($H3="Paused",AND($B3&lt;&gt;"",'Settings'!$B$3-$B3&lt;=14)),0,IF($C3="",12,IF(MAX(0,'Settings'!$B$3-$C3)&lt;=7,0,IF(MAX(0,'Settings'!$B$3-$C3)&lt;=14,6,IF(MAX(0,'Settings'!$B$3-$C3)&lt;=21,12,IF(MAX(0,'Settings'!$B$3-$C3)&lt;=35,18,20)))))))</f>
        <v/>
      </c>
      <c r="N3" s="11">
        <f>IF($A3="","",IF(AND($H3&lt;&gt;"Paused",OR($B3="",'Settings'!$B$3-$B3&gt;14),$L3=0,IF($F3&gt;=2,1-$D3/$F3&gt;=0.5,FALSE)),10,0))</f>
        <v/>
      </c>
      <c r="O3" s="11">
        <f>IF($A3="","",MIN(16,$G3*8))</f>
        <v/>
      </c>
      <c r="P3" s="11">
        <f>IF($A3="","",IF($H3="Paused",14,IF($I3&gt;0,6,0)))</f>
        <v/>
      </c>
      <c r="Q3" s="11">
        <f>IF($A3="","",IF($H3="Ended",30,0))</f>
        <v/>
      </c>
      <c r="R3" s="11">
        <f>IF($A3="","",MIN(15,$J3*8))</f>
        <v/>
      </c>
      <c r="S3" s="11">
        <f>IF($A3="","",IF(AND($B3&lt;&gt;"",$K3&lt;90,SUM($L3:$N3)&gt;0),ROUND(0.25*SUM($L3:$N3),0),0))</f>
        <v/>
      </c>
      <c r="T3" s="11">
        <f>IF($A3="","",MIN(100,SUM($L3:$S3)))</f>
        <v/>
      </c>
      <c r="U3" s="12">
        <f>IF($A3="","",IF($T3&lt;25,"Safe",IF($T3&lt;50,"Watch","At-risk")))</f>
        <v/>
      </c>
      <c r="V3" s="12">
        <f>IF($A3="","",IF($T3=0,"—",INDEX($L$1:$S$1,1,MATCH(MAX($L3:$S3),$L3:$S3,0))))</f>
        <v/>
      </c>
    </row>
    <row r="4" ht="15" customHeight="1">
      <c r="A4" s="8" t="inlineStr">
        <is>
          <t>Marta Costa</t>
        </is>
      </c>
      <c r="B4" s="9">
        <f>'Settings'!$B$3-400</f>
        <v/>
      </c>
      <c r="C4" s="9">
        <f>'Settings'!$B$3-8</f>
        <v/>
      </c>
      <c r="D4" s="10" t="n">
        <v>9</v>
      </c>
      <c r="E4" s="10" t="n">
        <v>36</v>
      </c>
      <c r="F4" s="10" t="n">
        <v>10</v>
      </c>
      <c r="G4" s="10" t="n">
        <v>0</v>
      </c>
      <c r="H4" s="8" t="inlineStr">
        <is>
          <t>Active</t>
        </is>
      </c>
      <c r="I4" s="10" t="n">
        <v>1</v>
      </c>
      <c r="J4" s="10" t="n">
        <v>0</v>
      </c>
      <c r="K4" s="11">
        <f>IF($A4="","",IF($B4="","",MAX(0,'Settings'!$B$3-$B4)))</f>
        <v/>
      </c>
      <c r="L4" s="11">
        <f>IF($A4="","",IF(OR($H4="Paused",AND($B4&lt;&gt;"",'Settings'!$B$3-$B4&lt;=14)),0,IF($E4/12&gt;=0.75,IF(1-($D4/4)/($E4/12)&gt;=0.3,ROUND(30*(1-($D4/4)/($E4/12)),0),0),0)))</f>
        <v/>
      </c>
      <c r="M4" s="11">
        <f>IF($A4="","",IF(OR($H4="Paused",AND($B4&lt;&gt;"",'Settings'!$B$3-$B4&lt;=14)),0,IF($C4="",12,IF(MAX(0,'Settings'!$B$3-$C4)&lt;=7,0,IF(MAX(0,'Settings'!$B$3-$C4)&lt;=14,6,IF(MAX(0,'Settings'!$B$3-$C4)&lt;=21,12,IF(MAX(0,'Settings'!$B$3-$C4)&lt;=35,18,20)))))))</f>
        <v/>
      </c>
      <c r="N4" s="11">
        <f>IF($A4="","",IF(AND($H4&lt;&gt;"Paused",OR($B4="",'Settings'!$B$3-$B4&gt;14),$L4=0,IF($F4&gt;=2,1-$D4/$F4&gt;=0.5,FALSE)),10,0))</f>
        <v/>
      </c>
      <c r="O4" s="11">
        <f>IF($A4="","",MIN(16,$G4*8))</f>
        <v/>
      </c>
      <c r="P4" s="11">
        <f>IF($A4="","",IF($H4="Paused",14,IF($I4&gt;0,6,0)))</f>
        <v/>
      </c>
      <c r="Q4" s="11">
        <f>IF($A4="","",IF($H4="Ended",30,0))</f>
        <v/>
      </c>
      <c r="R4" s="11">
        <f>IF($A4="","",MIN(15,$J4*8))</f>
        <v/>
      </c>
      <c r="S4" s="11">
        <f>IF($A4="","",IF(AND($B4&lt;&gt;"",$K4&lt;90,SUM($L4:$N4)&gt;0),ROUND(0.25*SUM($L4:$N4),0),0))</f>
        <v/>
      </c>
      <c r="T4" s="11">
        <f>IF($A4="","",MIN(100,SUM($L4:$S4)))</f>
        <v/>
      </c>
      <c r="U4" s="12">
        <f>IF($A4="","",IF($T4&lt;25,"Safe",IF($T4&lt;50,"Watch","At-risk")))</f>
        <v/>
      </c>
      <c r="V4" s="12">
        <f>IF($A4="","",IF($T4=0,"—",INDEX($L$1:$S$1,1,MATCH(MAX($L4:$S4),$L4:$S4,0))))</f>
        <v/>
      </c>
    </row>
    <row r="5" ht="15" customHeight="1">
      <c r="A5" s="8" t="inlineStr">
        <is>
          <t>Pablo Ruiz</t>
        </is>
      </c>
      <c r="B5" s="9">
        <f>'Settings'!$B$3-500</f>
        <v/>
      </c>
      <c r="C5" s="9">
        <f>'Settings'!$B$3-45</f>
        <v/>
      </c>
      <c r="D5" s="10" t="n">
        <v>0</v>
      </c>
      <c r="E5" s="10" t="n">
        <v>20</v>
      </c>
      <c r="F5" s="10" t="n">
        <v>8</v>
      </c>
      <c r="G5" s="10" t="n">
        <v>2</v>
      </c>
      <c r="H5" s="8" t="inlineStr">
        <is>
          <t>Paused</t>
        </is>
      </c>
      <c r="I5" s="10" t="n">
        <v>2</v>
      </c>
      <c r="J5" s="10" t="n">
        <v>2</v>
      </c>
      <c r="K5" s="11">
        <f>IF($A5="","",IF($B5="","",MAX(0,'Settings'!$B$3-$B5)))</f>
        <v/>
      </c>
      <c r="L5" s="11">
        <f>IF($A5="","",IF(OR($H5="Paused",AND($B5&lt;&gt;"",'Settings'!$B$3-$B5&lt;=14)),0,IF($E5/12&gt;=0.75,IF(1-($D5/4)/($E5/12)&gt;=0.3,ROUND(30*(1-($D5/4)/($E5/12)),0),0),0)))</f>
        <v/>
      </c>
      <c r="M5" s="11">
        <f>IF($A5="","",IF(OR($H5="Paused",AND($B5&lt;&gt;"",'Settings'!$B$3-$B5&lt;=14)),0,IF($C5="",12,IF(MAX(0,'Settings'!$B$3-$C5)&lt;=7,0,IF(MAX(0,'Settings'!$B$3-$C5)&lt;=14,6,IF(MAX(0,'Settings'!$B$3-$C5)&lt;=21,12,IF(MAX(0,'Settings'!$B$3-$C5)&lt;=35,18,20)))))))</f>
        <v/>
      </c>
      <c r="N5" s="11">
        <f>IF($A5="","",IF(AND($H5&lt;&gt;"Paused",OR($B5="",'Settings'!$B$3-$B5&gt;14),$L5=0,IF($F5&gt;=2,1-$D5/$F5&gt;=0.5,FALSE)),10,0))</f>
        <v/>
      </c>
      <c r="O5" s="11">
        <f>IF($A5="","",MIN(16,$G5*8))</f>
        <v/>
      </c>
      <c r="P5" s="11">
        <f>IF($A5="","",IF($H5="Paused",14,IF($I5&gt;0,6,0)))</f>
        <v/>
      </c>
      <c r="Q5" s="11">
        <f>IF($A5="","",IF($H5="Ended",30,0))</f>
        <v/>
      </c>
      <c r="R5" s="11">
        <f>IF($A5="","",MIN(15,$J5*8))</f>
        <v/>
      </c>
      <c r="S5" s="11">
        <f>IF($A5="","",IF(AND($B5&lt;&gt;"",$K5&lt;90,SUM($L5:$N5)&gt;0),ROUND(0.25*SUM($L5:$N5),0),0))</f>
        <v/>
      </c>
      <c r="T5" s="11">
        <f>IF($A5="","",MIN(100,SUM($L5:$S5)))</f>
        <v/>
      </c>
      <c r="U5" s="12">
        <f>IF($A5="","",IF($T5&lt;25,"Safe",IF($T5&lt;50,"Watch","At-risk")))</f>
        <v/>
      </c>
      <c r="V5" s="12">
        <f>IF($A5="","",IF($T5=0,"—",INDEX($L$1:$S$1,1,MATCH(MAX($L5:$S5),$L5:$S5,0))))</f>
        <v/>
      </c>
    </row>
    <row r="6" ht="15" customHeight="1">
      <c r="A6" s="8" t="inlineStr">
        <is>
          <t>Camila Torres</t>
        </is>
      </c>
      <c r="B6" s="9">
        <f>'Settings'!$B$3-20</f>
        <v/>
      </c>
      <c r="C6" s="9" t="n"/>
      <c r="D6" s="10" t="n">
        <v>1</v>
      </c>
      <c r="E6" s="10" t="n">
        <v>0</v>
      </c>
      <c r="F6" s="10" t="n">
        <v>0</v>
      </c>
      <c r="G6" s="10" t="n">
        <v>1</v>
      </c>
      <c r="H6" s="8" t="inlineStr">
        <is>
          <t>Active</t>
        </is>
      </c>
      <c r="I6" s="10" t="n">
        <v>0</v>
      </c>
      <c r="J6" s="10" t="n">
        <v>0</v>
      </c>
      <c r="K6" s="11">
        <f>IF($A6="","",IF($B6="","",MAX(0,'Settings'!$B$3-$B6)))</f>
        <v/>
      </c>
      <c r="L6" s="11">
        <f>IF($A6="","",IF(OR($H6="Paused",AND($B6&lt;&gt;"",'Settings'!$B$3-$B6&lt;=14)),0,IF($E6/12&gt;=0.75,IF(1-($D6/4)/($E6/12)&gt;=0.3,ROUND(30*(1-($D6/4)/($E6/12)),0),0),0)))</f>
        <v/>
      </c>
      <c r="M6" s="11">
        <f>IF($A6="","",IF(OR($H6="Paused",AND($B6&lt;&gt;"",'Settings'!$B$3-$B6&lt;=14)),0,IF($C6="",12,IF(MAX(0,'Settings'!$B$3-$C6)&lt;=7,0,IF(MAX(0,'Settings'!$B$3-$C6)&lt;=14,6,IF(MAX(0,'Settings'!$B$3-$C6)&lt;=21,12,IF(MAX(0,'Settings'!$B$3-$C6)&lt;=35,18,20)))))))</f>
        <v/>
      </c>
      <c r="N6" s="11">
        <f>IF($A6="","",IF(AND($H6&lt;&gt;"Paused",OR($B6="",'Settings'!$B$3-$B6&gt;14),$L6=0,IF($F6&gt;=2,1-$D6/$F6&gt;=0.5,FALSE)),10,0))</f>
        <v/>
      </c>
      <c r="O6" s="11">
        <f>IF($A6="","",MIN(16,$G6*8))</f>
        <v/>
      </c>
      <c r="P6" s="11">
        <f>IF($A6="","",IF($H6="Paused",14,IF($I6&gt;0,6,0)))</f>
        <v/>
      </c>
      <c r="Q6" s="11">
        <f>IF($A6="","",IF($H6="Ended",30,0))</f>
        <v/>
      </c>
      <c r="R6" s="11">
        <f>IF($A6="","",MIN(15,$J6*8))</f>
        <v/>
      </c>
      <c r="S6" s="11">
        <f>IF($A6="","",IF(AND($B6&lt;&gt;"",$K6&lt;90,SUM($L6:$N6)&gt;0),ROUND(0.25*SUM($L6:$N6),0),0))</f>
        <v/>
      </c>
      <c r="T6" s="11">
        <f>IF($A6="","",MIN(100,SUM($L6:$S6)))</f>
        <v/>
      </c>
      <c r="U6" s="12">
        <f>IF($A6="","",IF($T6&lt;25,"Safe",IF($T6&lt;50,"Watch","At-risk")))</f>
        <v/>
      </c>
      <c r="V6" s="12">
        <f>IF($A6="","",IF($T6=0,"—",INDEX($L$1:$S$1,1,MATCH(MAX($L6:$S6),$L6:$S6,0))))</f>
        <v/>
      </c>
    </row>
    <row r="7" ht="15" customHeight="1">
      <c r="A7" s="8" t="inlineStr">
        <is>
          <t>Diego Martín</t>
        </is>
      </c>
      <c r="B7" s="9">
        <f>'Settings'!$B$3-700</f>
        <v/>
      </c>
      <c r="C7" s="9">
        <f>'Settings'!$B$3-60</f>
        <v/>
      </c>
      <c r="D7" s="10" t="n">
        <v>0</v>
      </c>
      <c r="E7" s="10" t="n">
        <v>24</v>
      </c>
      <c r="F7" s="10" t="n">
        <v>6</v>
      </c>
      <c r="G7" s="10" t="n">
        <v>0</v>
      </c>
      <c r="H7" s="8" t="inlineStr">
        <is>
          <t>Ended</t>
        </is>
      </c>
      <c r="I7" s="10" t="n">
        <v>0</v>
      </c>
      <c r="J7" s="10" t="n">
        <v>3</v>
      </c>
      <c r="K7" s="11">
        <f>IF($A7="","",IF($B7="","",MAX(0,'Settings'!$B$3-$B7)))</f>
        <v/>
      </c>
      <c r="L7" s="11">
        <f>IF($A7="","",IF(OR($H7="Paused",AND($B7&lt;&gt;"",'Settings'!$B$3-$B7&lt;=14)),0,IF($E7/12&gt;=0.75,IF(1-($D7/4)/($E7/12)&gt;=0.3,ROUND(30*(1-($D7/4)/($E7/12)),0),0),0)))</f>
        <v/>
      </c>
      <c r="M7" s="11">
        <f>IF($A7="","",IF(OR($H7="Paused",AND($B7&lt;&gt;"",'Settings'!$B$3-$B7&lt;=14)),0,IF($C7="",12,IF(MAX(0,'Settings'!$B$3-$C7)&lt;=7,0,IF(MAX(0,'Settings'!$B$3-$C7)&lt;=14,6,IF(MAX(0,'Settings'!$B$3-$C7)&lt;=21,12,IF(MAX(0,'Settings'!$B$3-$C7)&lt;=35,18,20)))))))</f>
        <v/>
      </c>
      <c r="N7" s="11">
        <f>IF($A7="","",IF(AND($H7&lt;&gt;"Paused",OR($B7="",'Settings'!$B$3-$B7&gt;14),$L7=0,IF($F7&gt;=2,1-$D7/$F7&gt;=0.5,FALSE)),10,0))</f>
        <v/>
      </c>
      <c r="O7" s="11">
        <f>IF($A7="","",MIN(16,$G7*8))</f>
        <v/>
      </c>
      <c r="P7" s="11">
        <f>IF($A7="","",IF($H7="Paused",14,IF($I7&gt;0,6,0)))</f>
        <v/>
      </c>
      <c r="Q7" s="11">
        <f>IF($A7="","",IF($H7="Ended",30,0))</f>
        <v/>
      </c>
      <c r="R7" s="11">
        <f>IF($A7="","",MIN(15,$J7*8))</f>
        <v/>
      </c>
      <c r="S7" s="11">
        <f>IF($A7="","",IF(AND($B7&lt;&gt;"",$K7&lt;90,SUM($L7:$N7)&gt;0),ROUND(0.25*SUM($L7:$N7),0),0))</f>
        <v/>
      </c>
      <c r="T7" s="11">
        <f>IF($A7="","",MIN(100,SUM($L7:$S7)))</f>
        <v/>
      </c>
      <c r="U7" s="12">
        <f>IF($A7="","",IF($T7&lt;25,"Safe",IF($T7&lt;50,"Watch","At-risk")))</f>
        <v/>
      </c>
      <c r="V7" s="12">
        <f>IF($A7="","",IF($T7=0,"—",INDEX($L$1:$S$1,1,MATCH(MAX($L7:$S7),$L7:$S7,0))))</f>
        <v/>
      </c>
    </row>
    <row r="8" ht="15" customHeight="1">
      <c r="A8" s="8" t="inlineStr">
        <is>
          <t>Sofía Vega</t>
        </is>
      </c>
      <c r="B8" s="9">
        <f>'Settings'!$B$3-3</f>
        <v/>
      </c>
      <c r="C8" s="9" t="n"/>
      <c r="D8" s="10" t="n">
        <v>0</v>
      </c>
      <c r="E8" s="10" t="n">
        <v>0</v>
      </c>
      <c r="F8" s="10" t="n">
        <v>0</v>
      </c>
      <c r="G8" s="10" t="n">
        <v>0</v>
      </c>
      <c r="H8" s="8" t="inlineStr">
        <is>
          <t>Active</t>
        </is>
      </c>
      <c r="I8" s="10" t="n">
        <v>0</v>
      </c>
      <c r="J8" s="10" t="n">
        <v>0</v>
      </c>
      <c r="K8" s="11">
        <f>IF($A8="","",IF($B8="","",MAX(0,'Settings'!$B$3-$B8)))</f>
        <v/>
      </c>
      <c r="L8" s="11">
        <f>IF($A8="","",IF(OR($H8="Paused",AND($B8&lt;&gt;"",'Settings'!$B$3-$B8&lt;=14)),0,IF($E8/12&gt;=0.75,IF(1-($D8/4)/($E8/12)&gt;=0.3,ROUND(30*(1-($D8/4)/($E8/12)),0),0),0)))</f>
        <v/>
      </c>
      <c r="M8" s="11">
        <f>IF($A8="","",IF(OR($H8="Paused",AND($B8&lt;&gt;"",'Settings'!$B$3-$B8&lt;=14)),0,IF($C8="",12,IF(MAX(0,'Settings'!$B$3-$C8)&lt;=7,0,IF(MAX(0,'Settings'!$B$3-$C8)&lt;=14,6,IF(MAX(0,'Settings'!$B$3-$C8)&lt;=21,12,IF(MAX(0,'Settings'!$B$3-$C8)&lt;=35,18,20)))))))</f>
        <v/>
      </c>
      <c r="N8" s="11">
        <f>IF($A8="","",IF(AND($H8&lt;&gt;"Paused",OR($B8="",'Settings'!$B$3-$B8&gt;14),$L8=0,IF($F8&gt;=2,1-$D8/$F8&gt;=0.5,FALSE)),10,0))</f>
        <v/>
      </c>
      <c r="O8" s="11">
        <f>IF($A8="","",MIN(16,$G8*8))</f>
        <v/>
      </c>
      <c r="P8" s="11">
        <f>IF($A8="","",IF($H8="Paused",14,IF($I8&gt;0,6,0)))</f>
        <v/>
      </c>
      <c r="Q8" s="11">
        <f>IF($A8="","",IF($H8="Ended",30,0))</f>
        <v/>
      </c>
      <c r="R8" s="11">
        <f>IF($A8="","",MIN(15,$J8*8))</f>
        <v/>
      </c>
      <c r="S8" s="11">
        <f>IF($A8="","",IF(AND($B8&lt;&gt;"",$K8&lt;90,SUM($L8:$N8)&gt;0),ROUND(0.25*SUM($L8:$N8),0),0))</f>
        <v/>
      </c>
      <c r="T8" s="11">
        <f>IF($A8="","",MIN(100,SUM($L8:$S8)))</f>
        <v/>
      </c>
      <c r="U8" s="12">
        <f>IF($A8="","",IF($T8&lt;25,"Safe",IF($T8&lt;50,"Watch","At-risk")))</f>
        <v/>
      </c>
      <c r="V8" s="12">
        <f>IF($A8="","",IF($T8=0,"—",INDEX($L$1:$S$1,1,MATCH(MAX($L8:$S8),$L8:$S8,0))))</f>
        <v/>
      </c>
    </row>
    <row r="9">
      <c r="A9" s="13" t="n"/>
      <c r="B9" s="9" t="n"/>
      <c r="C9" s="9" t="n"/>
      <c r="D9" s="10" t="n"/>
      <c r="E9" s="10" t="n"/>
      <c r="F9" s="10" t="n"/>
      <c r="G9" s="10" t="n"/>
      <c r="H9" s="13" t="n"/>
      <c r="I9" s="10" t="n"/>
      <c r="J9" s="10" t="n"/>
      <c r="K9" s="11">
        <f>IF($A9="","",IF($B9="","",MAX(0,'Settings'!$B$3-$B9)))</f>
        <v/>
      </c>
      <c r="L9" s="11">
        <f>IF($A9="","",IF(OR($H9="Paused",AND($B9&lt;&gt;"",'Settings'!$B$3-$B9&lt;=14)),0,IF($E9/12&gt;=0.75,IF(1-($D9/4)/($E9/12)&gt;=0.3,ROUND(30*(1-($D9/4)/($E9/12)),0),0),0)))</f>
        <v/>
      </c>
      <c r="M9" s="11">
        <f>IF($A9="","",IF(OR($H9="Paused",AND($B9&lt;&gt;"",'Settings'!$B$3-$B9&lt;=14)),0,IF($C9="",12,IF(MAX(0,'Settings'!$B$3-$C9)&lt;=7,0,IF(MAX(0,'Settings'!$B$3-$C9)&lt;=14,6,IF(MAX(0,'Settings'!$B$3-$C9)&lt;=21,12,IF(MAX(0,'Settings'!$B$3-$C9)&lt;=35,18,20)))))))</f>
        <v/>
      </c>
      <c r="N9" s="11">
        <f>IF($A9="","",IF(AND($H9&lt;&gt;"Paused",OR($B9="",'Settings'!$B$3-$B9&gt;14),$L9=0,IF($F9&gt;=2,1-$D9/$F9&gt;=0.5,FALSE)),10,0))</f>
        <v/>
      </c>
      <c r="O9" s="11">
        <f>IF($A9="","",MIN(16,$G9*8))</f>
        <v/>
      </c>
      <c r="P9" s="11">
        <f>IF($A9="","",IF($H9="Paused",14,IF($I9&gt;0,6,0)))</f>
        <v/>
      </c>
      <c r="Q9" s="11">
        <f>IF($A9="","",IF($H9="Ended",30,0))</f>
        <v/>
      </c>
      <c r="R9" s="11">
        <f>IF($A9="","",MIN(15,$J9*8))</f>
        <v/>
      </c>
      <c r="S9" s="11">
        <f>IF($A9="","",IF(AND($B9&lt;&gt;"",$K9&lt;90,SUM($L9:$N9)&gt;0),ROUND(0.25*SUM($L9:$N9),0),0))</f>
        <v/>
      </c>
      <c r="T9" s="11">
        <f>IF($A9="","",MIN(100,SUM($L9:$S9)))</f>
        <v/>
      </c>
      <c r="U9" s="12">
        <f>IF($A9="","",IF($T9&lt;25,"Safe",IF($T9&lt;50,"Watch","At-risk")))</f>
        <v/>
      </c>
      <c r="V9" s="12">
        <f>IF($A9="","",IF($T9=0,"—",INDEX($L$1:$S$1,1,MATCH(MAX($L9:$S9),$L9:$S9,0))))</f>
        <v/>
      </c>
    </row>
    <row r="10">
      <c r="A10" s="13" t="n"/>
      <c r="B10" s="9" t="n"/>
      <c r="C10" s="9" t="n"/>
      <c r="D10" s="10" t="n"/>
      <c r="E10" s="10" t="n"/>
      <c r="F10" s="10" t="n"/>
      <c r="G10" s="10" t="n"/>
      <c r="H10" s="13" t="n"/>
      <c r="I10" s="10" t="n"/>
      <c r="J10" s="10" t="n"/>
      <c r="K10" s="11">
        <f>IF($A10="","",IF($B10="","",MAX(0,'Settings'!$B$3-$B10)))</f>
        <v/>
      </c>
      <c r="L10" s="11">
        <f>IF($A10="","",IF(OR($H10="Paused",AND($B10&lt;&gt;"",'Settings'!$B$3-$B10&lt;=14)),0,IF($E10/12&gt;=0.75,IF(1-($D10/4)/($E10/12)&gt;=0.3,ROUND(30*(1-($D10/4)/($E10/12)),0),0),0)))</f>
        <v/>
      </c>
      <c r="M10" s="11">
        <f>IF($A10="","",IF(OR($H10="Paused",AND($B10&lt;&gt;"",'Settings'!$B$3-$B10&lt;=14)),0,IF($C10="",12,IF(MAX(0,'Settings'!$B$3-$C10)&lt;=7,0,IF(MAX(0,'Settings'!$B$3-$C10)&lt;=14,6,IF(MAX(0,'Settings'!$B$3-$C10)&lt;=21,12,IF(MAX(0,'Settings'!$B$3-$C10)&lt;=35,18,20)))))))</f>
        <v/>
      </c>
      <c r="N10" s="11">
        <f>IF($A10="","",IF(AND($H10&lt;&gt;"Paused",OR($B10="",'Settings'!$B$3-$B10&gt;14),$L10=0,IF($F10&gt;=2,1-$D10/$F10&gt;=0.5,FALSE)),10,0))</f>
        <v/>
      </c>
      <c r="O10" s="11">
        <f>IF($A10="","",MIN(16,$G10*8))</f>
        <v/>
      </c>
      <c r="P10" s="11">
        <f>IF($A10="","",IF($H10="Paused",14,IF($I10&gt;0,6,0)))</f>
        <v/>
      </c>
      <c r="Q10" s="11">
        <f>IF($A10="","",IF($H10="Ended",30,0))</f>
        <v/>
      </c>
      <c r="R10" s="11">
        <f>IF($A10="","",MIN(15,$J10*8))</f>
        <v/>
      </c>
      <c r="S10" s="11">
        <f>IF($A10="","",IF(AND($B10&lt;&gt;"",$K10&lt;90,SUM($L10:$N10)&gt;0),ROUND(0.25*SUM($L10:$N10),0),0))</f>
        <v/>
      </c>
      <c r="T10" s="11">
        <f>IF($A10="","",MIN(100,SUM($L10:$S10)))</f>
        <v/>
      </c>
      <c r="U10" s="12">
        <f>IF($A10="","",IF($T10&lt;25,"Safe",IF($T10&lt;50,"Watch","At-risk")))</f>
        <v/>
      </c>
      <c r="V10" s="12">
        <f>IF($A10="","",IF($T10=0,"—",INDEX($L$1:$S$1,1,MATCH(MAX($L10:$S10),$L10:$S10,0))))</f>
        <v/>
      </c>
    </row>
    <row r="11">
      <c r="A11" s="13" t="n"/>
      <c r="B11" s="9" t="n"/>
      <c r="C11" s="9" t="n"/>
      <c r="D11" s="10" t="n"/>
      <c r="E11" s="10" t="n"/>
      <c r="F11" s="10" t="n"/>
      <c r="G11" s="10" t="n"/>
      <c r="H11" s="13" t="n"/>
      <c r="I11" s="10" t="n"/>
      <c r="J11" s="10" t="n"/>
      <c r="K11" s="11">
        <f>IF($A11="","",IF($B11="","",MAX(0,'Settings'!$B$3-$B11)))</f>
        <v/>
      </c>
      <c r="L11" s="11">
        <f>IF($A11="","",IF(OR($H11="Paused",AND($B11&lt;&gt;"",'Settings'!$B$3-$B11&lt;=14)),0,IF($E11/12&gt;=0.75,IF(1-($D11/4)/($E11/12)&gt;=0.3,ROUND(30*(1-($D11/4)/($E11/12)),0),0),0)))</f>
        <v/>
      </c>
      <c r="M11" s="11">
        <f>IF($A11="","",IF(OR($H11="Paused",AND($B11&lt;&gt;"",'Settings'!$B$3-$B11&lt;=14)),0,IF($C11="",12,IF(MAX(0,'Settings'!$B$3-$C11)&lt;=7,0,IF(MAX(0,'Settings'!$B$3-$C11)&lt;=14,6,IF(MAX(0,'Settings'!$B$3-$C11)&lt;=21,12,IF(MAX(0,'Settings'!$B$3-$C11)&lt;=35,18,20)))))))</f>
        <v/>
      </c>
      <c r="N11" s="11">
        <f>IF($A11="","",IF(AND($H11&lt;&gt;"Paused",OR($B11="",'Settings'!$B$3-$B11&gt;14),$L11=0,IF($F11&gt;=2,1-$D11/$F11&gt;=0.5,FALSE)),10,0))</f>
        <v/>
      </c>
      <c r="O11" s="11">
        <f>IF($A11="","",MIN(16,$G11*8))</f>
        <v/>
      </c>
      <c r="P11" s="11">
        <f>IF($A11="","",IF($H11="Paused",14,IF($I11&gt;0,6,0)))</f>
        <v/>
      </c>
      <c r="Q11" s="11">
        <f>IF($A11="","",IF($H11="Ended",30,0))</f>
        <v/>
      </c>
      <c r="R11" s="11">
        <f>IF($A11="","",MIN(15,$J11*8))</f>
        <v/>
      </c>
      <c r="S11" s="11">
        <f>IF($A11="","",IF(AND($B11&lt;&gt;"",$K11&lt;90,SUM($L11:$N11)&gt;0),ROUND(0.25*SUM($L11:$N11),0),0))</f>
        <v/>
      </c>
      <c r="T11" s="11">
        <f>IF($A11="","",MIN(100,SUM($L11:$S11)))</f>
        <v/>
      </c>
      <c r="U11" s="12">
        <f>IF($A11="","",IF($T11&lt;25,"Safe",IF($T11&lt;50,"Watch","At-risk")))</f>
        <v/>
      </c>
      <c r="V11" s="12">
        <f>IF($A11="","",IF($T11=0,"—",INDEX($L$1:$S$1,1,MATCH(MAX($L11:$S11),$L11:$S11,0))))</f>
        <v/>
      </c>
    </row>
    <row r="12">
      <c r="A12" s="13" t="n"/>
      <c r="B12" s="9" t="n"/>
      <c r="C12" s="9" t="n"/>
      <c r="D12" s="10" t="n"/>
      <c r="E12" s="10" t="n"/>
      <c r="F12" s="10" t="n"/>
      <c r="G12" s="10" t="n"/>
      <c r="H12" s="13" t="n"/>
      <c r="I12" s="10" t="n"/>
      <c r="J12" s="10" t="n"/>
      <c r="K12" s="11">
        <f>IF($A12="","",IF($B12="","",MAX(0,'Settings'!$B$3-$B12)))</f>
        <v/>
      </c>
      <c r="L12" s="11">
        <f>IF($A12="","",IF(OR($H12="Paused",AND($B12&lt;&gt;"",'Settings'!$B$3-$B12&lt;=14)),0,IF($E12/12&gt;=0.75,IF(1-($D12/4)/($E12/12)&gt;=0.3,ROUND(30*(1-($D12/4)/($E12/12)),0),0),0)))</f>
        <v/>
      </c>
      <c r="M12" s="11">
        <f>IF($A12="","",IF(OR($H12="Paused",AND($B12&lt;&gt;"",'Settings'!$B$3-$B12&lt;=14)),0,IF($C12="",12,IF(MAX(0,'Settings'!$B$3-$C12)&lt;=7,0,IF(MAX(0,'Settings'!$B$3-$C12)&lt;=14,6,IF(MAX(0,'Settings'!$B$3-$C12)&lt;=21,12,IF(MAX(0,'Settings'!$B$3-$C12)&lt;=35,18,20)))))))</f>
        <v/>
      </c>
      <c r="N12" s="11">
        <f>IF($A12="","",IF(AND($H12&lt;&gt;"Paused",OR($B12="",'Settings'!$B$3-$B12&gt;14),$L12=0,IF($F12&gt;=2,1-$D12/$F12&gt;=0.5,FALSE)),10,0))</f>
        <v/>
      </c>
      <c r="O12" s="11">
        <f>IF($A12="","",MIN(16,$G12*8))</f>
        <v/>
      </c>
      <c r="P12" s="11">
        <f>IF($A12="","",IF($H12="Paused",14,IF($I12&gt;0,6,0)))</f>
        <v/>
      </c>
      <c r="Q12" s="11">
        <f>IF($A12="","",IF($H12="Ended",30,0))</f>
        <v/>
      </c>
      <c r="R12" s="11">
        <f>IF($A12="","",MIN(15,$J12*8))</f>
        <v/>
      </c>
      <c r="S12" s="11">
        <f>IF($A12="","",IF(AND($B12&lt;&gt;"",$K12&lt;90,SUM($L12:$N12)&gt;0),ROUND(0.25*SUM($L12:$N12),0),0))</f>
        <v/>
      </c>
      <c r="T12" s="11">
        <f>IF($A12="","",MIN(100,SUM($L12:$S12)))</f>
        <v/>
      </c>
      <c r="U12" s="12">
        <f>IF($A12="","",IF($T12&lt;25,"Safe",IF($T12&lt;50,"Watch","At-risk")))</f>
        <v/>
      </c>
      <c r="V12" s="12">
        <f>IF($A12="","",IF($T12=0,"—",INDEX($L$1:$S$1,1,MATCH(MAX($L12:$S12),$L12:$S12,0))))</f>
        <v/>
      </c>
    </row>
    <row r="13">
      <c r="A13" s="13" t="n"/>
      <c r="B13" s="9" t="n"/>
      <c r="C13" s="9" t="n"/>
      <c r="D13" s="10" t="n"/>
      <c r="E13" s="10" t="n"/>
      <c r="F13" s="10" t="n"/>
      <c r="G13" s="10" t="n"/>
      <c r="H13" s="13" t="n"/>
      <c r="I13" s="10" t="n"/>
      <c r="J13" s="10" t="n"/>
      <c r="K13" s="11">
        <f>IF($A13="","",IF($B13="","",MAX(0,'Settings'!$B$3-$B13)))</f>
        <v/>
      </c>
      <c r="L13" s="11">
        <f>IF($A13="","",IF(OR($H13="Paused",AND($B13&lt;&gt;"",'Settings'!$B$3-$B13&lt;=14)),0,IF($E13/12&gt;=0.75,IF(1-($D13/4)/($E13/12)&gt;=0.3,ROUND(30*(1-($D13/4)/($E13/12)),0),0),0)))</f>
        <v/>
      </c>
      <c r="M13" s="11">
        <f>IF($A13="","",IF(OR($H13="Paused",AND($B13&lt;&gt;"",'Settings'!$B$3-$B13&lt;=14)),0,IF($C13="",12,IF(MAX(0,'Settings'!$B$3-$C13)&lt;=7,0,IF(MAX(0,'Settings'!$B$3-$C13)&lt;=14,6,IF(MAX(0,'Settings'!$B$3-$C13)&lt;=21,12,IF(MAX(0,'Settings'!$B$3-$C13)&lt;=35,18,20)))))))</f>
        <v/>
      </c>
      <c r="N13" s="11">
        <f>IF($A13="","",IF(AND($H13&lt;&gt;"Paused",OR($B13="",'Settings'!$B$3-$B13&gt;14),$L13=0,IF($F13&gt;=2,1-$D13/$F13&gt;=0.5,FALSE)),10,0))</f>
        <v/>
      </c>
      <c r="O13" s="11">
        <f>IF($A13="","",MIN(16,$G13*8))</f>
        <v/>
      </c>
      <c r="P13" s="11">
        <f>IF($A13="","",IF($H13="Paused",14,IF($I13&gt;0,6,0)))</f>
        <v/>
      </c>
      <c r="Q13" s="11">
        <f>IF($A13="","",IF($H13="Ended",30,0))</f>
        <v/>
      </c>
      <c r="R13" s="11">
        <f>IF($A13="","",MIN(15,$J13*8))</f>
        <v/>
      </c>
      <c r="S13" s="11">
        <f>IF($A13="","",IF(AND($B13&lt;&gt;"",$K13&lt;90,SUM($L13:$N13)&gt;0),ROUND(0.25*SUM($L13:$N13),0),0))</f>
        <v/>
      </c>
      <c r="T13" s="11">
        <f>IF($A13="","",MIN(100,SUM($L13:$S13)))</f>
        <v/>
      </c>
      <c r="U13" s="12">
        <f>IF($A13="","",IF($T13&lt;25,"Safe",IF($T13&lt;50,"Watch","At-risk")))</f>
        <v/>
      </c>
      <c r="V13" s="12">
        <f>IF($A13="","",IF($T13=0,"—",INDEX($L$1:$S$1,1,MATCH(MAX($L13:$S13),$L13:$S13,0))))</f>
        <v/>
      </c>
    </row>
    <row r="14">
      <c r="A14" s="13" t="n"/>
      <c r="B14" s="9" t="n"/>
      <c r="C14" s="9" t="n"/>
      <c r="D14" s="10" t="n"/>
      <c r="E14" s="10" t="n"/>
      <c r="F14" s="10" t="n"/>
      <c r="G14" s="10" t="n"/>
      <c r="H14" s="13" t="n"/>
      <c r="I14" s="10" t="n"/>
      <c r="J14" s="10" t="n"/>
      <c r="K14" s="11">
        <f>IF($A14="","",IF($B14="","",MAX(0,'Settings'!$B$3-$B14)))</f>
        <v/>
      </c>
      <c r="L14" s="11">
        <f>IF($A14="","",IF(OR($H14="Paused",AND($B14&lt;&gt;"",'Settings'!$B$3-$B14&lt;=14)),0,IF($E14/12&gt;=0.75,IF(1-($D14/4)/($E14/12)&gt;=0.3,ROUND(30*(1-($D14/4)/($E14/12)),0),0),0)))</f>
        <v/>
      </c>
      <c r="M14" s="11">
        <f>IF($A14="","",IF(OR($H14="Paused",AND($B14&lt;&gt;"",'Settings'!$B$3-$B14&lt;=14)),0,IF($C14="",12,IF(MAX(0,'Settings'!$B$3-$C14)&lt;=7,0,IF(MAX(0,'Settings'!$B$3-$C14)&lt;=14,6,IF(MAX(0,'Settings'!$B$3-$C14)&lt;=21,12,IF(MAX(0,'Settings'!$B$3-$C14)&lt;=35,18,20)))))))</f>
        <v/>
      </c>
      <c r="N14" s="11">
        <f>IF($A14="","",IF(AND($H14&lt;&gt;"Paused",OR($B14="",'Settings'!$B$3-$B14&gt;14),$L14=0,IF($F14&gt;=2,1-$D14/$F14&gt;=0.5,FALSE)),10,0))</f>
        <v/>
      </c>
      <c r="O14" s="11">
        <f>IF($A14="","",MIN(16,$G14*8))</f>
        <v/>
      </c>
      <c r="P14" s="11">
        <f>IF($A14="","",IF($H14="Paused",14,IF($I14&gt;0,6,0)))</f>
        <v/>
      </c>
      <c r="Q14" s="11">
        <f>IF($A14="","",IF($H14="Ended",30,0))</f>
        <v/>
      </c>
      <c r="R14" s="11">
        <f>IF($A14="","",MIN(15,$J14*8))</f>
        <v/>
      </c>
      <c r="S14" s="11">
        <f>IF($A14="","",IF(AND($B14&lt;&gt;"",$K14&lt;90,SUM($L14:$N14)&gt;0),ROUND(0.25*SUM($L14:$N14),0),0))</f>
        <v/>
      </c>
      <c r="T14" s="11">
        <f>IF($A14="","",MIN(100,SUM($L14:$S14)))</f>
        <v/>
      </c>
      <c r="U14" s="12">
        <f>IF($A14="","",IF($T14&lt;25,"Safe",IF($T14&lt;50,"Watch","At-risk")))</f>
        <v/>
      </c>
      <c r="V14" s="12">
        <f>IF($A14="","",IF($T14=0,"—",INDEX($L$1:$S$1,1,MATCH(MAX($L14:$S14),$L14:$S14,0))))</f>
        <v/>
      </c>
    </row>
    <row r="15">
      <c r="A15" s="13" t="n"/>
      <c r="B15" s="9" t="n"/>
      <c r="C15" s="9" t="n"/>
      <c r="D15" s="10" t="n"/>
      <c r="E15" s="10" t="n"/>
      <c r="F15" s="10" t="n"/>
      <c r="G15" s="10" t="n"/>
      <c r="H15" s="13" t="n"/>
      <c r="I15" s="10" t="n"/>
      <c r="J15" s="10" t="n"/>
      <c r="K15" s="11">
        <f>IF($A15="","",IF($B15="","",MAX(0,'Settings'!$B$3-$B15)))</f>
        <v/>
      </c>
      <c r="L15" s="11">
        <f>IF($A15="","",IF(OR($H15="Paused",AND($B15&lt;&gt;"",'Settings'!$B$3-$B15&lt;=14)),0,IF($E15/12&gt;=0.75,IF(1-($D15/4)/($E15/12)&gt;=0.3,ROUND(30*(1-($D15/4)/($E15/12)),0),0),0)))</f>
        <v/>
      </c>
      <c r="M15" s="11">
        <f>IF($A15="","",IF(OR($H15="Paused",AND($B15&lt;&gt;"",'Settings'!$B$3-$B15&lt;=14)),0,IF($C15="",12,IF(MAX(0,'Settings'!$B$3-$C15)&lt;=7,0,IF(MAX(0,'Settings'!$B$3-$C15)&lt;=14,6,IF(MAX(0,'Settings'!$B$3-$C15)&lt;=21,12,IF(MAX(0,'Settings'!$B$3-$C15)&lt;=35,18,20)))))))</f>
        <v/>
      </c>
      <c r="N15" s="11">
        <f>IF($A15="","",IF(AND($H15&lt;&gt;"Paused",OR($B15="",'Settings'!$B$3-$B15&gt;14),$L15=0,IF($F15&gt;=2,1-$D15/$F15&gt;=0.5,FALSE)),10,0))</f>
        <v/>
      </c>
      <c r="O15" s="11">
        <f>IF($A15="","",MIN(16,$G15*8))</f>
        <v/>
      </c>
      <c r="P15" s="11">
        <f>IF($A15="","",IF($H15="Paused",14,IF($I15&gt;0,6,0)))</f>
        <v/>
      </c>
      <c r="Q15" s="11">
        <f>IF($A15="","",IF($H15="Ended",30,0))</f>
        <v/>
      </c>
      <c r="R15" s="11">
        <f>IF($A15="","",MIN(15,$J15*8))</f>
        <v/>
      </c>
      <c r="S15" s="11">
        <f>IF($A15="","",IF(AND($B15&lt;&gt;"",$K15&lt;90,SUM($L15:$N15)&gt;0),ROUND(0.25*SUM($L15:$N15),0),0))</f>
        <v/>
      </c>
      <c r="T15" s="11">
        <f>IF($A15="","",MIN(100,SUM($L15:$S15)))</f>
        <v/>
      </c>
      <c r="U15" s="12">
        <f>IF($A15="","",IF($T15&lt;25,"Safe",IF($T15&lt;50,"Watch","At-risk")))</f>
        <v/>
      </c>
      <c r="V15" s="12">
        <f>IF($A15="","",IF($T15=0,"—",INDEX($L$1:$S$1,1,MATCH(MAX($L15:$S15),$L15:$S15,0))))</f>
        <v/>
      </c>
    </row>
    <row r="16">
      <c r="A16" s="13" t="n"/>
      <c r="B16" s="9" t="n"/>
      <c r="C16" s="9" t="n"/>
      <c r="D16" s="10" t="n"/>
      <c r="E16" s="10" t="n"/>
      <c r="F16" s="10" t="n"/>
      <c r="G16" s="10" t="n"/>
      <c r="H16" s="13" t="n"/>
      <c r="I16" s="10" t="n"/>
      <c r="J16" s="10" t="n"/>
      <c r="K16" s="11">
        <f>IF($A16="","",IF($B16="","",MAX(0,'Settings'!$B$3-$B16)))</f>
        <v/>
      </c>
      <c r="L16" s="11">
        <f>IF($A16="","",IF(OR($H16="Paused",AND($B16&lt;&gt;"",'Settings'!$B$3-$B16&lt;=14)),0,IF($E16/12&gt;=0.75,IF(1-($D16/4)/($E16/12)&gt;=0.3,ROUND(30*(1-($D16/4)/($E16/12)),0),0),0)))</f>
        <v/>
      </c>
      <c r="M16" s="11">
        <f>IF($A16="","",IF(OR($H16="Paused",AND($B16&lt;&gt;"",'Settings'!$B$3-$B16&lt;=14)),0,IF($C16="",12,IF(MAX(0,'Settings'!$B$3-$C16)&lt;=7,0,IF(MAX(0,'Settings'!$B$3-$C16)&lt;=14,6,IF(MAX(0,'Settings'!$B$3-$C16)&lt;=21,12,IF(MAX(0,'Settings'!$B$3-$C16)&lt;=35,18,20)))))))</f>
        <v/>
      </c>
      <c r="N16" s="11">
        <f>IF($A16="","",IF(AND($H16&lt;&gt;"Paused",OR($B16="",'Settings'!$B$3-$B16&gt;14),$L16=0,IF($F16&gt;=2,1-$D16/$F16&gt;=0.5,FALSE)),10,0))</f>
        <v/>
      </c>
      <c r="O16" s="11">
        <f>IF($A16="","",MIN(16,$G16*8))</f>
        <v/>
      </c>
      <c r="P16" s="11">
        <f>IF($A16="","",IF($H16="Paused",14,IF($I16&gt;0,6,0)))</f>
        <v/>
      </c>
      <c r="Q16" s="11">
        <f>IF($A16="","",IF($H16="Ended",30,0))</f>
        <v/>
      </c>
      <c r="R16" s="11">
        <f>IF($A16="","",MIN(15,$J16*8))</f>
        <v/>
      </c>
      <c r="S16" s="11">
        <f>IF($A16="","",IF(AND($B16&lt;&gt;"",$K16&lt;90,SUM($L16:$N16)&gt;0),ROUND(0.25*SUM($L16:$N16),0),0))</f>
        <v/>
      </c>
      <c r="T16" s="11">
        <f>IF($A16="","",MIN(100,SUM($L16:$S16)))</f>
        <v/>
      </c>
      <c r="U16" s="12">
        <f>IF($A16="","",IF($T16&lt;25,"Safe",IF($T16&lt;50,"Watch","At-risk")))</f>
        <v/>
      </c>
      <c r="V16" s="12">
        <f>IF($A16="","",IF($T16=0,"—",INDEX($L$1:$S$1,1,MATCH(MAX($L16:$S16),$L16:$S16,0))))</f>
        <v/>
      </c>
    </row>
    <row r="17">
      <c r="A17" s="13" t="n"/>
      <c r="B17" s="9" t="n"/>
      <c r="C17" s="9" t="n"/>
      <c r="D17" s="10" t="n"/>
      <c r="E17" s="10" t="n"/>
      <c r="F17" s="10" t="n"/>
      <c r="G17" s="10" t="n"/>
      <c r="H17" s="13" t="n"/>
      <c r="I17" s="10" t="n"/>
      <c r="J17" s="10" t="n"/>
      <c r="K17" s="11">
        <f>IF($A17="","",IF($B17="","",MAX(0,'Settings'!$B$3-$B17)))</f>
        <v/>
      </c>
      <c r="L17" s="11">
        <f>IF($A17="","",IF(OR($H17="Paused",AND($B17&lt;&gt;"",'Settings'!$B$3-$B17&lt;=14)),0,IF($E17/12&gt;=0.75,IF(1-($D17/4)/($E17/12)&gt;=0.3,ROUND(30*(1-($D17/4)/($E17/12)),0),0),0)))</f>
        <v/>
      </c>
      <c r="M17" s="11">
        <f>IF($A17="","",IF(OR($H17="Paused",AND($B17&lt;&gt;"",'Settings'!$B$3-$B17&lt;=14)),0,IF($C17="",12,IF(MAX(0,'Settings'!$B$3-$C17)&lt;=7,0,IF(MAX(0,'Settings'!$B$3-$C17)&lt;=14,6,IF(MAX(0,'Settings'!$B$3-$C17)&lt;=21,12,IF(MAX(0,'Settings'!$B$3-$C17)&lt;=35,18,20)))))))</f>
        <v/>
      </c>
      <c r="N17" s="11">
        <f>IF($A17="","",IF(AND($H17&lt;&gt;"Paused",OR($B17="",'Settings'!$B$3-$B17&gt;14),$L17=0,IF($F17&gt;=2,1-$D17/$F17&gt;=0.5,FALSE)),10,0))</f>
        <v/>
      </c>
      <c r="O17" s="11">
        <f>IF($A17="","",MIN(16,$G17*8))</f>
        <v/>
      </c>
      <c r="P17" s="11">
        <f>IF($A17="","",IF($H17="Paused",14,IF($I17&gt;0,6,0)))</f>
        <v/>
      </c>
      <c r="Q17" s="11">
        <f>IF($A17="","",IF($H17="Ended",30,0))</f>
        <v/>
      </c>
      <c r="R17" s="11">
        <f>IF($A17="","",MIN(15,$J17*8))</f>
        <v/>
      </c>
      <c r="S17" s="11">
        <f>IF($A17="","",IF(AND($B17&lt;&gt;"",$K17&lt;90,SUM($L17:$N17)&gt;0),ROUND(0.25*SUM($L17:$N17),0),0))</f>
        <v/>
      </c>
      <c r="T17" s="11">
        <f>IF($A17="","",MIN(100,SUM($L17:$S17)))</f>
        <v/>
      </c>
      <c r="U17" s="12">
        <f>IF($A17="","",IF($T17&lt;25,"Safe",IF($T17&lt;50,"Watch","At-risk")))</f>
        <v/>
      </c>
      <c r="V17" s="12">
        <f>IF($A17="","",IF($T17=0,"—",INDEX($L$1:$S$1,1,MATCH(MAX($L17:$S17),$L17:$S17,0))))</f>
        <v/>
      </c>
    </row>
    <row r="18">
      <c r="A18" s="13" t="n"/>
      <c r="B18" s="9" t="n"/>
      <c r="C18" s="9" t="n"/>
      <c r="D18" s="10" t="n"/>
      <c r="E18" s="10" t="n"/>
      <c r="F18" s="10" t="n"/>
      <c r="G18" s="10" t="n"/>
      <c r="H18" s="13" t="n"/>
      <c r="I18" s="10" t="n"/>
      <c r="J18" s="10" t="n"/>
      <c r="K18" s="11">
        <f>IF($A18="","",IF($B18="","",MAX(0,'Settings'!$B$3-$B18)))</f>
        <v/>
      </c>
      <c r="L18" s="11">
        <f>IF($A18="","",IF(OR($H18="Paused",AND($B18&lt;&gt;"",'Settings'!$B$3-$B18&lt;=14)),0,IF($E18/12&gt;=0.75,IF(1-($D18/4)/($E18/12)&gt;=0.3,ROUND(30*(1-($D18/4)/($E18/12)),0),0),0)))</f>
        <v/>
      </c>
      <c r="M18" s="11">
        <f>IF($A18="","",IF(OR($H18="Paused",AND($B18&lt;&gt;"",'Settings'!$B$3-$B18&lt;=14)),0,IF($C18="",12,IF(MAX(0,'Settings'!$B$3-$C18)&lt;=7,0,IF(MAX(0,'Settings'!$B$3-$C18)&lt;=14,6,IF(MAX(0,'Settings'!$B$3-$C18)&lt;=21,12,IF(MAX(0,'Settings'!$B$3-$C18)&lt;=35,18,20)))))))</f>
        <v/>
      </c>
      <c r="N18" s="11">
        <f>IF($A18="","",IF(AND($H18&lt;&gt;"Paused",OR($B18="",'Settings'!$B$3-$B18&gt;14),$L18=0,IF($F18&gt;=2,1-$D18/$F18&gt;=0.5,FALSE)),10,0))</f>
        <v/>
      </c>
      <c r="O18" s="11">
        <f>IF($A18="","",MIN(16,$G18*8))</f>
        <v/>
      </c>
      <c r="P18" s="11">
        <f>IF($A18="","",IF($H18="Paused",14,IF($I18&gt;0,6,0)))</f>
        <v/>
      </c>
      <c r="Q18" s="11">
        <f>IF($A18="","",IF($H18="Ended",30,0))</f>
        <v/>
      </c>
      <c r="R18" s="11">
        <f>IF($A18="","",MIN(15,$J18*8))</f>
        <v/>
      </c>
      <c r="S18" s="11">
        <f>IF($A18="","",IF(AND($B18&lt;&gt;"",$K18&lt;90,SUM($L18:$N18)&gt;0),ROUND(0.25*SUM($L18:$N18),0),0))</f>
        <v/>
      </c>
      <c r="T18" s="11">
        <f>IF($A18="","",MIN(100,SUM($L18:$S18)))</f>
        <v/>
      </c>
      <c r="U18" s="12">
        <f>IF($A18="","",IF($T18&lt;25,"Safe",IF($T18&lt;50,"Watch","At-risk")))</f>
        <v/>
      </c>
      <c r="V18" s="12">
        <f>IF($A18="","",IF($T18=0,"—",INDEX($L$1:$S$1,1,MATCH(MAX($L18:$S18),$L18:$S18,0))))</f>
        <v/>
      </c>
    </row>
    <row r="19">
      <c r="A19" s="13" t="n"/>
      <c r="B19" s="9" t="n"/>
      <c r="C19" s="9" t="n"/>
      <c r="D19" s="10" t="n"/>
      <c r="E19" s="10" t="n"/>
      <c r="F19" s="10" t="n"/>
      <c r="G19" s="10" t="n"/>
      <c r="H19" s="13" t="n"/>
      <c r="I19" s="10" t="n"/>
      <c r="J19" s="10" t="n"/>
      <c r="K19" s="11">
        <f>IF($A19="","",IF($B19="","",MAX(0,'Settings'!$B$3-$B19)))</f>
        <v/>
      </c>
      <c r="L19" s="11">
        <f>IF($A19="","",IF(OR($H19="Paused",AND($B19&lt;&gt;"",'Settings'!$B$3-$B19&lt;=14)),0,IF($E19/12&gt;=0.75,IF(1-($D19/4)/($E19/12)&gt;=0.3,ROUND(30*(1-($D19/4)/($E19/12)),0),0),0)))</f>
        <v/>
      </c>
      <c r="M19" s="11">
        <f>IF($A19="","",IF(OR($H19="Paused",AND($B19&lt;&gt;"",'Settings'!$B$3-$B19&lt;=14)),0,IF($C19="",12,IF(MAX(0,'Settings'!$B$3-$C19)&lt;=7,0,IF(MAX(0,'Settings'!$B$3-$C19)&lt;=14,6,IF(MAX(0,'Settings'!$B$3-$C19)&lt;=21,12,IF(MAX(0,'Settings'!$B$3-$C19)&lt;=35,18,20)))))))</f>
        <v/>
      </c>
      <c r="N19" s="11">
        <f>IF($A19="","",IF(AND($H19&lt;&gt;"Paused",OR($B19="",'Settings'!$B$3-$B19&gt;14),$L19=0,IF($F19&gt;=2,1-$D19/$F19&gt;=0.5,FALSE)),10,0))</f>
        <v/>
      </c>
      <c r="O19" s="11">
        <f>IF($A19="","",MIN(16,$G19*8))</f>
        <v/>
      </c>
      <c r="P19" s="11">
        <f>IF($A19="","",IF($H19="Paused",14,IF($I19&gt;0,6,0)))</f>
        <v/>
      </c>
      <c r="Q19" s="11">
        <f>IF($A19="","",IF($H19="Ended",30,0))</f>
        <v/>
      </c>
      <c r="R19" s="11">
        <f>IF($A19="","",MIN(15,$J19*8))</f>
        <v/>
      </c>
      <c r="S19" s="11">
        <f>IF($A19="","",IF(AND($B19&lt;&gt;"",$K19&lt;90,SUM($L19:$N19)&gt;0),ROUND(0.25*SUM($L19:$N19),0),0))</f>
        <v/>
      </c>
      <c r="T19" s="11">
        <f>IF($A19="","",MIN(100,SUM($L19:$S19)))</f>
        <v/>
      </c>
      <c r="U19" s="12">
        <f>IF($A19="","",IF($T19&lt;25,"Safe",IF($T19&lt;50,"Watch","At-risk")))</f>
        <v/>
      </c>
      <c r="V19" s="12">
        <f>IF($A19="","",IF($T19=0,"—",INDEX($L$1:$S$1,1,MATCH(MAX($L19:$S19),$L19:$S19,0))))</f>
        <v/>
      </c>
    </row>
    <row r="20">
      <c r="A20" s="13" t="n"/>
      <c r="B20" s="9" t="n"/>
      <c r="C20" s="9" t="n"/>
      <c r="D20" s="10" t="n"/>
      <c r="E20" s="10" t="n"/>
      <c r="F20" s="10" t="n"/>
      <c r="G20" s="10" t="n"/>
      <c r="H20" s="13" t="n"/>
      <c r="I20" s="10" t="n"/>
      <c r="J20" s="10" t="n"/>
      <c r="K20" s="11">
        <f>IF($A20="","",IF($B20="","",MAX(0,'Settings'!$B$3-$B20)))</f>
        <v/>
      </c>
      <c r="L20" s="11">
        <f>IF($A20="","",IF(OR($H20="Paused",AND($B20&lt;&gt;"",'Settings'!$B$3-$B20&lt;=14)),0,IF($E20/12&gt;=0.75,IF(1-($D20/4)/($E20/12)&gt;=0.3,ROUND(30*(1-($D20/4)/($E20/12)),0),0),0)))</f>
        <v/>
      </c>
      <c r="M20" s="11">
        <f>IF($A20="","",IF(OR($H20="Paused",AND($B20&lt;&gt;"",'Settings'!$B$3-$B20&lt;=14)),0,IF($C20="",12,IF(MAX(0,'Settings'!$B$3-$C20)&lt;=7,0,IF(MAX(0,'Settings'!$B$3-$C20)&lt;=14,6,IF(MAX(0,'Settings'!$B$3-$C20)&lt;=21,12,IF(MAX(0,'Settings'!$B$3-$C20)&lt;=35,18,20)))))))</f>
        <v/>
      </c>
      <c r="N20" s="11">
        <f>IF($A20="","",IF(AND($H20&lt;&gt;"Paused",OR($B20="",'Settings'!$B$3-$B20&gt;14),$L20=0,IF($F20&gt;=2,1-$D20/$F20&gt;=0.5,FALSE)),10,0))</f>
        <v/>
      </c>
      <c r="O20" s="11">
        <f>IF($A20="","",MIN(16,$G20*8))</f>
        <v/>
      </c>
      <c r="P20" s="11">
        <f>IF($A20="","",IF($H20="Paused",14,IF($I20&gt;0,6,0)))</f>
        <v/>
      </c>
      <c r="Q20" s="11">
        <f>IF($A20="","",IF($H20="Ended",30,0))</f>
        <v/>
      </c>
      <c r="R20" s="11">
        <f>IF($A20="","",MIN(15,$J20*8))</f>
        <v/>
      </c>
      <c r="S20" s="11">
        <f>IF($A20="","",IF(AND($B20&lt;&gt;"",$K20&lt;90,SUM($L20:$N20)&gt;0),ROUND(0.25*SUM($L20:$N20),0),0))</f>
        <v/>
      </c>
      <c r="T20" s="11">
        <f>IF($A20="","",MIN(100,SUM($L20:$S20)))</f>
        <v/>
      </c>
      <c r="U20" s="12">
        <f>IF($A20="","",IF($T20&lt;25,"Safe",IF($T20&lt;50,"Watch","At-risk")))</f>
        <v/>
      </c>
      <c r="V20" s="12">
        <f>IF($A20="","",IF($T20=0,"—",INDEX($L$1:$S$1,1,MATCH(MAX($L20:$S20),$L20:$S20,0))))</f>
        <v/>
      </c>
    </row>
    <row r="21">
      <c r="A21" s="13" t="n"/>
      <c r="B21" s="9" t="n"/>
      <c r="C21" s="9" t="n"/>
      <c r="D21" s="10" t="n"/>
      <c r="E21" s="10" t="n"/>
      <c r="F21" s="10" t="n"/>
      <c r="G21" s="10" t="n"/>
      <c r="H21" s="13" t="n"/>
      <c r="I21" s="10" t="n"/>
      <c r="J21" s="10" t="n"/>
      <c r="K21" s="11">
        <f>IF($A21="","",IF($B21="","",MAX(0,'Settings'!$B$3-$B21)))</f>
        <v/>
      </c>
      <c r="L21" s="11">
        <f>IF($A21="","",IF(OR($H21="Paused",AND($B21&lt;&gt;"",'Settings'!$B$3-$B21&lt;=14)),0,IF($E21/12&gt;=0.75,IF(1-($D21/4)/($E21/12)&gt;=0.3,ROUND(30*(1-($D21/4)/($E21/12)),0),0),0)))</f>
        <v/>
      </c>
      <c r="M21" s="11">
        <f>IF($A21="","",IF(OR($H21="Paused",AND($B21&lt;&gt;"",'Settings'!$B$3-$B21&lt;=14)),0,IF($C21="",12,IF(MAX(0,'Settings'!$B$3-$C21)&lt;=7,0,IF(MAX(0,'Settings'!$B$3-$C21)&lt;=14,6,IF(MAX(0,'Settings'!$B$3-$C21)&lt;=21,12,IF(MAX(0,'Settings'!$B$3-$C21)&lt;=35,18,20)))))))</f>
        <v/>
      </c>
      <c r="N21" s="11">
        <f>IF($A21="","",IF(AND($H21&lt;&gt;"Paused",OR($B21="",'Settings'!$B$3-$B21&gt;14),$L21=0,IF($F21&gt;=2,1-$D21/$F21&gt;=0.5,FALSE)),10,0))</f>
        <v/>
      </c>
      <c r="O21" s="11">
        <f>IF($A21="","",MIN(16,$G21*8))</f>
        <v/>
      </c>
      <c r="P21" s="11">
        <f>IF($A21="","",IF($H21="Paused",14,IF($I21&gt;0,6,0)))</f>
        <v/>
      </c>
      <c r="Q21" s="11">
        <f>IF($A21="","",IF($H21="Ended",30,0))</f>
        <v/>
      </c>
      <c r="R21" s="11">
        <f>IF($A21="","",MIN(15,$J21*8))</f>
        <v/>
      </c>
      <c r="S21" s="11">
        <f>IF($A21="","",IF(AND($B21&lt;&gt;"",$K21&lt;90,SUM($L21:$N21)&gt;0),ROUND(0.25*SUM($L21:$N21),0),0))</f>
        <v/>
      </c>
      <c r="T21" s="11">
        <f>IF($A21="","",MIN(100,SUM($L21:$S21)))</f>
        <v/>
      </c>
      <c r="U21" s="12">
        <f>IF($A21="","",IF($T21&lt;25,"Safe",IF($T21&lt;50,"Watch","At-risk")))</f>
        <v/>
      </c>
      <c r="V21" s="12">
        <f>IF($A21="","",IF($T21=0,"—",INDEX($L$1:$S$1,1,MATCH(MAX($L21:$S21),$L21:$S21,0))))</f>
        <v/>
      </c>
    </row>
    <row r="22">
      <c r="A22" s="13" t="n"/>
      <c r="B22" s="9" t="n"/>
      <c r="C22" s="9" t="n"/>
      <c r="D22" s="10" t="n"/>
      <c r="E22" s="10" t="n"/>
      <c r="F22" s="10" t="n"/>
      <c r="G22" s="10" t="n"/>
      <c r="H22" s="13" t="n"/>
      <c r="I22" s="10" t="n"/>
      <c r="J22" s="10" t="n"/>
      <c r="K22" s="11">
        <f>IF($A22="","",IF($B22="","",MAX(0,'Settings'!$B$3-$B22)))</f>
        <v/>
      </c>
      <c r="L22" s="11">
        <f>IF($A22="","",IF(OR($H22="Paused",AND($B22&lt;&gt;"",'Settings'!$B$3-$B22&lt;=14)),0,IF($E22/12&gt;=0.75,IF(1-($D22/4)/($E22/12)&gt;=0.3,ROUND(30*(1-($D22/4)/($E22/12)),0),0),0)))</f>
        <v/>
      </c>
      <c r="M22" s="11">
        <f>IF($A22="","",IF(OR($H22="Paused",AND($B22&lt;&gt;"",'Settings'!$B$3-$B22&lt;=14)),0,IF($C22="",12,IF(MAX(0,'Settings'!$B$3-$C22)&lt;=7,0,IF(MAX(0,'Settings'!$B$3-$C22)&lt;=14,6,IF(MAX(0,'Settings'!$B$3-$C22)&lt;=21,12,IF(MAX(0,'Settings'!$B$3-$C22)&lt;=35,18,20)))))))</f>
        <v/>
      </c>
      <c r="N22" s="11">
        <f>IF($A22="","",IF(AND($H22&lt;&gt;"Paused",OR($B22="",'Settings'!$B$3-$B22&gt;14),$L22=0,IF($F22&gt;=2,1-$D22/$F22&gt;=0.5,FALSE)),10,0))</f>
        <v/>
      </c>
      <c r="O22" s="11">
        <f>IF($A22="","",MIN(16,$G22*8))</f>
        <v/>
      </c>
      <c r="P22" s="11">
        <f>IF($A22="","",IF($H22="Paused",14,IF($I22&gt;0,6,0)))</f>
        <v/>
      </c>
      <c r="Q22" s="11">
        <f>IF($A22="","",IF($H22="Ended",30,0))</f>
        <v/>
      </c>
      <c r="R22" s="11">
        <f>IF($A22="","",MIN(15,$J22*8))</f>
        <v/>
      </c>
      <c r="S22" s="11">
        <f>IF($A22="","",IF(AND($B22&lt;&gt;"",$K22&lt;90,SUM($L22:$N22)&gt;0),ROUND(0.25*SUM($L22:$N22),0),0))</f>
        <v/>
      </c>
      <c r="T22" s="11">
        <f>IF($A22="","",MIN(100,SUM($L22:$S22)))</f>
        <v/>
      </c>
      <c r="U22" s="12">
        <f>IF($A22="","",IF($T22&lt;25,"Safe",IF($T22&lt;50,"Watch","At-risk")))</f>
        <v/>
      </c>
      <c r="V22" s="12">
        <f>IF($A22="","",IF($T22=0,"—",INDEX($L$1:$S$1,1,MATCH(MAX($L22:$S22),$L22:$S22,0))))</f>
        <v/>
      </c>
    </row>
    <row r="23">
      <c r="A23" s="13" t="n"/>
      <c r="B23" s="9" t="n"/>
      <c r="C23" s="9" t="n"/>
      <c r="D23" s="10" t="n"/>
      <c r="E23" s="10" t="n"/>
      <c r="F23" s="10" t="n"/>
      <c r="G23" s="10" t="n"/>
      <c r="H23" s="13" t="n"/>
      <c r="I23" s="10" t="n"/>
      <c r="J23" s="10" t="n"/>
      <c r="K23" s="11">
        <f>IF($A23="","",IF($B23="","",MAX(0,'Settings'!$B$3-$B23)))</f>
        <v/>
      </c>
      <c r="L23" s="11">
        <f>IF($A23="","",IF(OR($H23="Paused",AND($B23&lt;&gt;"",'Settings'!$B$3-$B23&lt;=14)),0,IF($E23/12&gt;=0.75,IF(1-($D23/4)/($E23/12)&gt;=0.3,ROUND(30*(1-($D23/4)/($E23/12)),0),0),0)))</f>
        <v/>
      </c>
      <c r="M23" s="11">
        <f>IF($A23="","",IF(OR($H23="Paused",AND($B23&lt;&gt;"",'Settings'!$B$3-$B23&lt;=14)),0,IF($C23="",12,IF(MAX(0,'Settings'!$B$3-$C23)&lt;=7,0,IF(MAX(0,'Settings'!$B$3-$C23)&lt;=14,6,IF(MAX(0,'Settings'!$B$3-$C23)&lt;=21,12,IF(MAX(0,'Settings'!$B$3-$C23)&lt;=35,18,20)))))))</f>
        <v/>
      </c>
      <c r="N23" s="11">
        <f>IF($A23="","",IF(AND($H23&lt;&gt;"Paused",OR($B23="",'Settings'!$B$3-$B23&gt;14),$L23=0,IF($F23&gt;=2,1-$D23/$F23&gt;=0.5,FALSE)),10,0))</f>
        <v/>
      </c>
      <c r="O23" s="11">
        <f>IF($A23="","",MIN(16,$G23*8))</f>
        <v/>
      </c>
      <c r="P23" s="11">
        <f>IF($A23="","",IF($H23="Paused",14,IF($I23&gt;0,6,0)))</f>
        <v/>
      </c>
      <c r="Q23" s="11">
        <f>IF($A23="","",IF($H23="Ended",30,0))</f>
        <v/>
      </c>
      <c r="R23" s="11">
        <f>IF($A23="","",MIN(15,$J23*8))</f>
        <v/>
      </c>
      <c r="S23" s="11">
        <f>IF($A23="","",IF(AND($B23&lt;&gt;"",$K23&lt;90,SUM($L23:$N23)&gt;0),ROUND(0.25*SUM($L23:$N23),0),0))</f>
        <v/>
      </c>
      <c r="T23" s="11">
        <f>IF($A23="","",MIN(100,SUM($L23:$S23)))</f>
        <v/>
      </c>
      <c r="U23" s="12">
        <f>IF($A23="","",IF($T23&lt;25,"Safe",IF($T23&lt;50,"Watch","At-risk")))</f>
        <v/>
      </c>
      <c r="V23" s="12">
        <f>IF($A23="","",IF($T23=0,"—",INDEX($L$1:$S$1,1,MATCH(MAX($L23:$S23),$L23:$S23,0))))</f>
        <v/>
      </c>
    </row>
    <row r="24">
      <c r="A24" s="13" t="n"/>
      <c r="B24" s="9" t="n"/>
      <c r="C24" s="9" t="n"/>
      <c r="D24" s="10" t="n"/>
      <c r="E24" s="10" t="n"/>
      <c r="F24" s="10" t="n"/>
      <c r="G24" s="10" t="n"/>
      <c r="H24" s="13" t="n"/>
      <c r="I24" s="10" t="n"/>
      <c r="J24" s="10" t="n"/>
      <c r="K24" s="11">
        <f>IF($A24="","",IF($B24="","",MAX(0,'Settings'!$B$3-$B24)))</f>
        <v/>
      </c>
      <c r="L24" s="11">
        <f>IF($A24="","",IF(OR($H24="Paused",AND($B24&lt;&gt;"",'Settings'!$B$3-$B24&lt;=14)),0,IF($E24/12&gt;=0.75,IF(1-($D24/4)/($E24/12)&gt;=0.3,ROUND(30*(1-($D24/4)/($E24/12)),0),0),0)))</f>
        <v/>
      </c>
      <c r="M24" s="11">
        <f>IF($A24="","",IF(OR($H24="Paused",AND($B24&lt;&gt;"",'Settings'!$B$3-$B24&lt;=14)),0,IF($C24="",12,IF(MAX(0,'Settings'!$B$3-$C24)&lt;=7,0,IF(MAX(0,'Settings'!$B$3-$C24)&lt;=14,6,IF(MAX(0,'Settings'!$B$3-$C24)&lt;=21,12,IF(MAX(0,'Settings'!$B$3-$C24)&lt;=35,18,20)))))))</f>
        <v/>
      </c>
      <c r="N24" s="11">
        <f>IF($A24="","",IF(AND($H24&lt;&gt;"Paused",OR($B24="",'Settings'!$B$3-$B24&gt;14),$L24=0,IF($F24&gt;=2,1-$D24/$F24&gt;=0.5,FALSE)),10,0))</f>
        <v/>
      </c>
      <c r="O24" s="11">
        <f>IF($A24="","",MIN(16,$G24*8))</f>
        <v/>
      </c>
      <c r="P24" s="11">
        <f>IF($A24="","",IF($H24="Paused",14,IF($I24&gt;0,6,0)))</f>
        <v/>
      </c>
      <c r="Q24" s="11">
        <f>IF($A24="","",IF($H24="Ended",30,0))</f>
        <v/>
      </c>
      <c r="R24" s="11">
        <f>IF($A24="","",MIN(15,$J24*8))</f>
        <v/>
      </c>
      <c r="S24" s="11">
        <f>IF($A24="","",IF(AND($B24&lt;&gt;"",$K24&lt;90,SUM($L24:$N24)&gt;0),ROUND(0.25*SUM($L24:$N24),0),0))</f>
        <v/>
      </c>
      <c r="T24" s="11">
        <f>IF($A24="","",MIN(100,SUM($L24:$S24)))</f>
        <v/>
      </c>
      <c r="U24" s="12">
        <f>IF($A24="","",IF($T24&lt;25,"Safe",IF($T24&lt;50,"Watch","At-risk")))</f>
        <v/>
      </c>
      <c r="V24" s="12">
        <f>IF($A24="","",IF($T24=0,"—",INDEX($L$1:$S$1,1,MATCH(MAX($L24:$S24),$L24:$S24,0))))</f>
        <v/>
      </c>
    </row>
    <row r="25">
      <c r="A25" s="13" t="n"/>
      <c r="B25" s="9" t="n"/>
      <c r="C25" s="9" t="n"/>
      <c r="D25" s="10" t="n"/>
      <c r="E25" s="10" t="n"/>
      <c r="F25" s="10" t="n"/>
      <c r="G25" s="10" t="n"/>
      <c r="H25" s="13" t="n"/>
      <c r="I25" s="10" t="n"/>
      <c r="J25" s="10" t="n"/>
      <c r="K25" s="11">
        <f>IF($A25="","",IF($B25="","",MAX(0,'Settings'!$B$3-$B25)))</f>
        <v/>
      </c>
      <c r="L25" s="11">
        <f>IF($A25="","",IF(OR($H25="Paused",AND($B25&lt;&gt;"",'Settings'!$B$3-$B25&lt;=14)),0,IF($E25/12&gt;=0.75,IF(1-($D25/4)/($E25/12)&gt;=0.3,ROUND(30*(1-($D25/4)/($E25/12)),0),0),0)))</f>
        <v/>
      </c>
      <c r="M25" s="11">
        <f>IF($A25="","",IF(OR($H25="Paused",AND($B25&lt;&gt;"",'Settings'!$B$3-$B25&lt;=14)),0,IF($C25="",12,IF(MAX(0,'Settings'!$B$3-$C25)&lt;=7,0,IF(MAX(0,'Settings'!$B$3-$C25)&lt;=14,6,IF(MAX(0,'Settings'!$B$3-$C25)&lt;=21,12,IF(MAX(0,'Settings'!$B$3-$C25)&lt;=35,18,20)))))))</f>
        <v/>
      </c>
      <c r="N25" s="11">
        <f>IF($A25="","",IF(AND($H25&lt;&gt;"Paused",OR($B25="",'Settings'!$B$3-$B25&gt;14),$L25=0,IF($F25&gt;=2,1-$D25/$F25&gt;=0.5,FALSE)),10,0))</f>
        <v/>
      </c>
      <c r="O25" s="11">
        <f>IF($A25="","",MIN(16,$G25*8))</f>
        <v/>
      </c>
      <c r="P25" s="11">
        <f>IF($A25="","",IF($H25="Paused",14,IF($I25&gt;0,6,0)))</f>
        <v/>
      </c>
      <c r="Q25" s="11">
        <f>IF($A25="","",IF($H25="Ended",30,0))</f>
        <v/>
      </c>
      <c r="R25" s="11">
        <f>IF($A25="","",MIN(15,$J25*8))</f>
        <v/>
      </c>
      <c r="S25" s="11">
        <f>IF($A25="","",IF(AND($B25&lt;&gt;"",$K25&lt;90,SUM($L25:$N25)&gt;0),ROUND(0.25*SUM($L25:$N25),0),0))</f>
        <v/>
      </c>
      <c r="T25" s="11">
        <f>IF($A25="","",MIN(100,SUM($L25:$S25)))</f>
        <v/>
      </c>
      <c r="U25" s="12">
        <f>IF($A25="","",IF($T25&lt;25,"Safe",IF($T25&lt;50,"Watch","At-risk")))</f>
        <v/>
      </c>
      <c r="V25" s="12">
        <f>IF($A25="","",IF($T25=0,"—",INDEX($L$1:$S$1,1,MATCH(MAX($L25:$S25),$L25:$S25,0))))</f>
        <v/>
      </c>
    </row>
    <row r="26">
      <c r="A26" s="13" t="n"/>
      <c r="B26" s="9" t="n"/>
      <c r="C26" s="9" t="n"/>
      <c r="D26" s="10" t="n"/>
      <c r="E26" s="10" t="n"/>
      <c r="F26" s="10" t="n"/>
      <c r="G26" s="10" t="n"/>
      <c r="H26" s="13" t="n"/>
      <c r="I26" s="10" t="n"/>
      <c r="J26" s="10" t="n"/>
      <c r="K26" s="11">
        <f>IF($A26="","",IF($B26="","",MAX(0,'Settings'!$B$3-$B26)))</f>
        <v/>
      </c>
      <c r="L26" s="11">
        <f>IF($A26="","",IF(OR($H26="Paused",AND($B26&lt;&gt;"",'Settings'!$B$3-$B26&lt;=14)),0,IF($E26/12&gt;=0.75,IF(1-($D26/4)/($E26/12)&gt;=0.3,ROUND(30*(1-($D26/4)/($E26/12)),0),0),0)))</f>
        <v/>
      </c>
      <c r="M26" s="11">
        <f>IF($A26="","",IF(OR($H26="Paused",AND($B26&lt;&gt;"",'Settings'!$B$3-$B26&lt;=14)),0,IF($C26="",12,IF(MAX(0,'Settings'!$B$3-$C26)&lt;=7,0,IF(MAX(0,'Settings'!$B$3-$C26)&lt;=14,6,IF(MAX(0,'Settings'!$B$3-$C26)&lt;=21,12,IF(MAX(0,'Settings'!$B$3-$C26)&lt;=35,18,20)))))))</f>
        <v/>
      </c>
      <c r="N26" s="11">
        <f>IF($A26="","",IF(AND($H26&lt;&gt;"Paused",OR($B26="",'Settings'!$B$3-$B26&gt;14),$L26=0,IF($F26&gt;=2,1-$D26/$F26&gt;=0.5,FALSE)),10,0))</f>
        <v/>
      </c>
      <c r="O26" s="11">
        <f>IF($A26="","",MIN(16,$G26*8))</f>
        <v/>
      </c>
      <c r="P26" s="11">
        <f>IF($A26="","",IF($H26="Paused",14,IF($I26&gt;0,6,0)))</f>
        <v/>
      </c>
      <c r="Q26" s="11">
        <f>IF($A26="","",IF($H26="Ended",30,0))</f>
        <v/>
      </c>
      <c r="R26" s="11">
        <f>IF($A26="","",MIN(15,$J26*8))</f>
        <v/>
      </c>
      <c r="S26" s="11">
        <f>IF($A26="","",IF(AND($B26&lt;&gt;"",$K26&lt;90,SUM($L26:$N26)&gt;0),ROUND(0.25*SUM($L26:$N26),0),0))</f>
        <v/>
      </c>
      <c r="T26" s="11">
        <f>IF($A26="","",MIN(100,SUM($L26:$S26)))</f>
        <v/>
      </c>
      <c r="U26" s="12">
        <f>IF($A26="","",IF($T26&lt;25,"Safe",IF($T26&lt;50,"Watch","At-risk")))</f>
        <v/>
      </c>
      <c r="V26" s="12">
        <f>IF($A26="","",IF($T26=0,"—",INDEX($L$1:$S$1,1,MATCH(MAX($L26:$S26),$L26:$S26,0))))</f>
        <v/>
      </c>
    </row>
    <row r="27">
      <c r="A27" s="13" t="n"/>
      <c r="B27" s="9" t="n"/>
      <c r="C27" s="9" t="n"/>
      <c r="D27" s="10" t="n"/>
      <c r="E27" s="10" t="n"/>
      <c r="F27" s="10" t="n"/>
      <c r="G27" s="10" t="n"/>
      <c r="H27" s="13" t="n"/>
      <c r="I27" s="10" t="n"/>
      <c r="J27" s="10" t="n"/>
      <c r="K27" s="11">
        <f>IF($A27="","",IF($B27="","",MAX(0,'Settings'!$B$3-$B27)))</f>
        <v/>
      </c>
      <c r="L27" s="11">
        <f>IF($A27="","",IF(OR($H27="Paused",AND($B27&lt;&gt;"",'Settings'!$B$3-$B27&lt;=14)),0,IF($E27/12&gt;=0.75,IF(1-($D27/4)/($E27/12)&gt;=0.3,ROUND(30*(1-($D27/4)/($E27/12)),0),0),0)))</f>
        <v/>
      </c>
      <c r="M27" s="11">
        <f>IF($A27="","",IF(OR($H27="Paused",AND($B27&lt;&gt;"",'Settings'!$B$3-$B27&lt;=14)),0,IF($C27="",12,IF(MAX(0,'Settings'!$B$3-$C27)&lt;=7,0,IF(MAX(0,'Settings'!$B$3-$C27)&lt;=14,6,IF(MAX(0,'Settings'!$B$3-$C27)&lt;=21,12,IF(MAX(0,'Settings'!$B$3-$C27)&lt;=35,18,20)))))))</f>
        <v/>
      </c>
      <c r="N27" s="11">
        <f>IF($A27="","",IF(AND($H27&lt;&gt;"Paused",OR($B27="",'Settings'!$B$3-$B27&gt;14),$L27=0,IF($F27&gt;=2,1-$D27/$F27&gt;=0.5,FALSE)),10,0))</f>
        <v/>
      </c>
      <c r="O27" s="11">
        <f>IF($A27="","",MIN(16,$G27*8))</f>
        <v/>
      </c>
      <c r="P27" s="11">
        <f>IF($A27="","",IF($H27="Paused",14,IF($I27&gt;0,6,0)))</f>
        <v/>
      </c>
      <c r="Q27" s="11">
        <f>IF($A27="","",IF($H27="Ended",30,0))</f>
        <v/>
      </c>
      <c r="R27" s="11">
        <f>IF($A27="","",MIN(15,$J27*8))</f>
        <v/>
      </c>
      <c r="S27" s="11">
        <f>IF($A27="","",IF(AND($B27&lt;&gt;"",$K27&lt;90,SUM($L27:$N27)&gt;0),ROUND(0.25*SUM($L27:$N27),0),0))</f>
        <v/>
      </c>
      <c r="T27" s="11">
        <f>IF($A27="","",MIN(100,SUM($L27:$S27)))</f>
        <v/>
      </c>
      <c r="U27" s="12">
        <f>IF($A27="","",IF($T27&lt;25,"Safe",IF($T27&lt;50,"Watch","At-risk")))</f>
        <v/>
      </c>
      <c r="V27" s="12">
        <f>IF($A27="","",IF($T27=0,"—",INDEX($L$1:$S$1,1,MATCH(MAX($L27:$S27),$L27:$S27,0))))</f>
        <v/>
      </c>
    </row>
    <row r="28">
      <c r="A28" s="13" t="n"/>
      <c r="B28" s="9" t="n"/>
      <c r="C28" s="9" t="n"/>
      <c r="D28" s="10" t="n"/>
      <c r="E28" s="10" t="n"/>
      <c r="F28" s="10" t="n"/>
      <c r="G28" s="10" t="n"/>
      <c r="H28" s="13" t="n"/>
      <c r="I28" s="10" t="n"/>
      <c r="J28" s="10" t="n"/>
      <c r="K28" s="11">
        <f>IF($A28="","",IF($B28="","",MAX(0,'Settings'!$B$3-$B28)))</f>
        <v/>
      </c>
      <c r="L28" s="11">
        <f>IF($A28="","",IF(OR($H28="Paused",AND($B28&lt;&gt;"",'Settings'!$B$3-$B28&lt;=14)),0,IF($E28/12&gt;=0.75,IF(1-($D28/4)/($E28/12)&gt;=0.3,ROUND(30*(1-($D28/4)/($E28/12)),0),0),0)))</f>
        <v/>
      </c>
      <c r="M28" s="11">
        <f>IF($A28="","",IF(OR($H28="Paused",AND($B28&lt;&gt;"",'Settings'!$B$3-$B28&lt;=14)),0,IF($C28="",12,IF(MAX(0,'Settings'!$B$3-$C28)&lt;=7,0,IF(MAX(0,'Settings'!$B$3-$C28)&lt;=14,6,IF(MAX(0,'Settings'!$B$3-$C28)&lt;=21,12,IF(MAX(0,'Settings'!$B$3-$C28)&lt;=35,18,20)))))))</f>
        <v/>
      </c>
      <c r="N28" s="11">
        <f>IF($A28="","",IF(AND($H28&lt;&gt;"Paused",OR($B28="",'Settings'!$B$3-$B28&gt;14),$L28=0,IF($F28&gt;=2,1-$D28/$F28&gt;=0.5,FALSE)),10,0))</f>
        <v/>
      </c>
      <c r="O28" s="11">
        <f>IF($A28="","",MIN(16,$G28*8))</f>
        <v/>
      </c>
      <c r="P28" s="11">
        <f>IF($A28="","",IF($H28="Paused",14,IF($I28&gt;0,6,0)))</f>
        <v/>
      </c>
      <c r="Q28" s="11">
        <f>IF($A28="","",IF($H28="Ended",30,0))</f>
        <v/>
      </c>
      <c r="R28" s="11">
        <f>IF($A28="","",MIN(15,$J28*8))</f>
        <v/>
      </c>
      <c r="S28" s="11">
        <f>IF($A28="","",IF(AND($B28&lt;&gt;"",$K28&lt;90,SUM($L28:$N28)&gt;0),ROUND(0.25*SUM($L28:$N28),0),0))</f>
        <v/>
      </c>
      <c r="T28" s="11">
        <f>IF($A28="","",MIN(100,SUM($L28:$S28)))</f>
        <v/>
      </c>
      <c r="U28" s="12">
        <f>IF($A28="","",IF($T28&lt;25,"Safe",IF($T28&lt;50,"Watch","At-risk")))</f>
        <v/>
      </c>
      <c r="V28" s="12">
        <f>IF($A28="","",IF($T28=0,"—",INDEX($L$1:$S$1,1,MATCH(MAX($L28:$S28),$L28:$S28,0))))</f>
        <v/>
      </c>
    </row>
    <row r="29">
      <c r="A29" s="13" t="n"/>
      <c r="B29" s="9" t="n"/>
      <c r="C29" s="9" t="n"/>
      <c r="D29" s="10" t="n"/>
      <c r="E29" s="10" t="n"/>
      <c r="F29" s="10" t="n"/>
      <c r="G29" s="10" t="n"/>
      <c r="H29" s="13" t="n"/>
      <c r="I29" s="10" t="n"/>
      <c r="J29" s="10" t="n"/>
      <c r="K29" s="11">
        <f>IF($A29="","",IF($B29="","",MAX(0,'Settings'!$B$3-$B29)))</f>
        <v/>
      </c>
      <c r="L29" s="11">
        <f>IF($A29="","",IF(OR($H29="Paused",AND($B29&lt;&gt;"",'Settings'!$B$3-$B29&lt;=14)),0,IF($E29/12&gt;=0.75,IF(1-($D29/4)/($E29/12)&gt;=0.3,ROUND(30*(1-($D29/4)/($E29/12)),0),0),0)))</f>
        <v/>
      </c>
      <c r="M29" s="11">
        <f>IF($A29="","",IF(OR($H29="Paused",AND($B29&lt;&gt;"",'Settings'!$B$3-$B29&lt;=14)),0,IF($C29="",12,IF(MAX(0,'Settings'!$B$3-$C29)&lt;=7,0,IF(MAX(0,'Settings'!$B$3-$C29)&lt;=14,6,IF(MAX(0,'Settings'!$B$3-$C29)&lt;=21,12,IF(MAX(0,'Settings'!$B$3-$C29)&lt;=35,18,20)))))))</f>
        <v/>
      </c>
      <c r="N29" s="11">
        <f>IF($A29="","",IF(AND($H29&lt;&gt;"Paused",OR($B29="",'Settings'!$B$3-$B29&gt;14),$L29=0,IF($F29&gt;=2,1-$D29/$F29&gt;=0.5,FALSE)),10,0))</f>
        <v/>
      </c>
      <c r="O29" s="11">
        <f>IF($A29="","",MIN(16,$G29*8))</f>
        <v/>
      </c>
      <c r="P29" s="11">
        <f>IF($A29="","",IF($H29="Paused",14,IF($I29&gt;0,6,0)))</f>
        <v/>
      </c>
      <c r="Q29" s="11">
        <f>IF($A29="","",IF($H29="Ended",30,0))</f>
        <v/>
      </c>
      <c r="R29" s="11">
        <f>IF($A29="","",MIN(15,$J29*8))</f>
        <v/>
      </c>
      <c r="S29" s="11">
        <f>IF($A29="","",IF(AND($B29&lt;&gt;"",$K29&lt;90,SUM($L29:$N29)&gt;0),ROUND(0.25*SUM($L29:$N29),0),0))</f>
        <v/>
      </c>
      <c r="T29" s="11">
        <f>IF($A29="","",MIN(100,SUM($L29:$S29)))</f>
        <v/>
      </c>
      <c r="U29" s="12">
        <f>IF($A29="","",IF($T29&lt;25,"Safe",IF($T29&lt;50,"Watch","At-risk")))</f>
        <v/>
      </c>
      <c r="V29" s="12">
        <f>IF($A29="","",IF($T29=0,"—",INDEX($L$1:$S$1,1,MATCH(MAX($L29:$S29),$L29:$S29,0))))</f>
        <v/>
      </c>
    </row>
    <row r="30">
      <c r="A30" s="13" t="n"/>
      <c r="B30" s="9" t="n"/>
      <c r="C30" s="9" t="n"/>
      <c r="D30" s="10" t="n"/>
      <c r="E30" s="10" t="n"/>
      <c r="F30" s="10" t="n"/>
      <c r="G30" s="10" t="n"/>
      <c r="H30" s="13" t="n"/>
      <c r="I30" s="10" t="n"/>
      <c r="J30" s="10" t="n"/>
      <c r="K30" s="11">
        <f>IF($A30="","",IF($B30="","",MAX(0,'Settings'!$B$3-$B30)))</f>
        <v/>
      </c>
      <c r="L30" s="11">
        <f>IF($A30="","",IF(OR($H30="Paused",AND($B30&lt;&gt;"",'Settings'!$B$3-$B30&lt;=14)),0,IF($E30/12&gt;=0.75,IF(1-($D30/4)/($E30/12)&gt;=0.3,ROUND(30*(1-($D30/4)/($E30/12)),0),0),0)))</f>
        <v/>
      </c>
      <c r="M30" s="11">
        <f>IF($A30="","",IF(OR($H30="Paused",AND($B30&lt;&gt;"",'Settings'!$B$3-$B30&lt;=14)),0,IF($C30="",12,IF(MAX(0,'Settings'!$B$3-$C30)&lt;=7,0,IF(MAX(0,'Settings'!$B$3-$C30)&lt;=14,6,IF(MAX(0,'Settings'!$B$3-$C30)&lt;=21,12,IF(MAX(0,'Settings'!$B$3-$C30)&lt;=35,18,20)))))))</f>
        <v/>
      </c>
      <c r="N30" s="11">
        <f>IF($A30="","",IF(AND($H30&lt;&gt;"Paused",OR($B30="",'Settings'!$B$3-$B30&gt;14),$L30=0,IF($F30&gt;=2,1-$D30/$F30&gt;=0.5,FALSE)),10,0))</f>
        <v/>
      </c>
      <c r="O30" s="11">
        <f>IF($A30="","",MIN(16,$G30*8))</f>
        <v/>
      </c>
      <c r="P30" s="11">
        <f>IF($A30="","",IF($H30="Paused",14,IF($I30&gt;0,6,0)))</f>
        <v/>
      </c>
      <c r="Q30" s="11">
        <f>IF($A30="","",IF($H30="Ended",30,0))</f>
        <v/>
      </c>
      <c r="R30" s="11">
        <f>IF($A30="","",MIN(15,$J30*8))</f>
        <v/>
      </c>
      <c r="S30" s="11">
        <f>IF($A30="","",IF(AND($B30&lt;&gt;"",$K30&lt;90,SUM($L30:$N30)&gt;0),ROUND(0.25*SUM($L30:$N30),0),0))</f>
        <v/>
      </c>
      <c r="T30" s="11">
        <f>IF($A30="","",MIN(100,SUM($L30:$S30)))</f>
        <v/>
      </c>
      <c r="U30" s="12">
        <f>IF($A30="","",IF($T30&lt;25,"Safe",IF($T30&lt;50,"Watch","At-risk")))</f>
        <v/>
      </c>
      <c r="V30" s="12">
        <f>IF($A30="","",IF($T30=0,"—",INDEX($L$1:$S$1,1,MATCH(MAX($L30:$S30),$L30:$S30,0))))</f>
        <v/>
      </c>
    </row>
    <row r="31">
      <c r="A31" s="13" t="n"/>
      <c r="B31" s="9" t="n"/>
      <c r="C31" s="9" t="n"/>
      <c r="D31" s="10" t="n"/>
      <c r="E31" s="10" t="n"/>
      <c r="F31" s="10" t="n"/>
      <c r="G31" s="10" t="n"/>
      <c r="H31" s="13" t="n"/>
      <c r="I31" s="10" t="n"/>
      <c r="J31" s="10" t="n"/>
      <c r="K31" s="11">
        <f>IF($A31="","",IF($B31="","",MAX(0,'Settings'!$B$3-$B31)))</f>
        <v/>
      </c>
      <c r="L31" s="11">
        <f>IF($A31="","",IF(OR($H31="Paused",AND($B31&lt;&gt;"",'Settings'!$B$3-$B31&lt;=14)),0,IF($E31/12&gt;=0.75,IF(1-($D31/4)/($E31/12)&gt;=0.3,ROUND(30*(1-($D31/4)/($E31/12)),0),0),0)))</f>
        <v/>
      </c>
      <c r="M31" s="11">
        <f>IF($A31="","",IF(OR($H31="Paused",AND($B31&lt;&gt;"",'Settings'!$B$3-$B31&lt;=14)),0,IF($C31="",12,IF(MAX(0,'Settings'!$B$3-$C31)&lt;=7,0,IF(MAX(0,'Settings'!$B$3-$C31)&lt;=14,6,IF(MAX(0,'Settings'!$B$3-$C31)&lt;=21,12,IF(MAX(0,'Settings'!$B$3-$C31)&lt;=35,18,20)))))))</f>
        <v/>
      </c>
      <c r="N31" s="11">
        <f>IF($A31="","",IF(AND($H31&lt;&gt;"Paused",OR($B31="",'Settings'!$B$3-$B31&gt;14),$L31=0,IF($F31&gt;=2,1-$D31/$F31&gt;=0.5,FALSE)),10,0))</f>
        <v/>
      </c>
      <c r="O31" s="11">
        <f>IF($A31="","",MIN(16,$G31*8))</f>
        <v/>
      </c>
      <c r="P31" s="11">
        <f>IF($A31="","",IF($H31="Paused",14,IF($I31&gt;0,6,0)))</f>
        <v/>
      </c>
      <c r="Q31" s="11">
        <f>IF($A31="","",IF($H31="Ended",30,0))</f>
        <v/>
      </c>
      <c r="R31" s="11">
        <f>IF($A31="","",MIN(15,$J31*8))</f>
        <v/>
      </c>
      <c r="S31" s="11">
        <f>IF($A31="","",IF(AND($B31&lt;&gt;"",$K31&lt;90,SUM($L31:$N31)&gt;0),ROUND(0.25*SUM($L31:$N31),0),0))</f>
        <v/>
      </c>
      <c r="T31" s="11">
        <f>IF($A31="","",MIN(100,SUM($L31:$S31)))</f>
        <v/>
      </c>
      <c r="U31" s="12">
        <f>IF($A31="","",IF($T31&lt;25,"Safe",IF($T31&lt;50,"Watch","At-risk")))</f>
        <v/>
      </c>
      <c r="V31" s="12">
        <f>IF($A31="","",IF($T31=0,"—",INDEX($L$1:$S$1,1,MATCH(MAX($L31:$S31),$L31:$S31,0))))</f>
        <v/>
      </c>
    </row>
    <row r="32">
      <c r="A32" s="13" t="n"/>
      <c r="B32" s="9" t="n"/>
      <c r="C32" s="9" t="n"/>
      <c r="D32" s="10" t="n"/>
      <c r="E32" s="10" t="n"/>
      <c r="F32" s="10" t="n"/>
      <c r="G32" s="10" t="n"/>
      <c r="H32" s="13" t="n"/>
      <c r="I32" s="10" t="n"/>
      <c r="J32" s="10" t="n"/>
      <c r="K32" s="11">
        <f>IF($A32="","",IF($B32="","",MAX(0,'Settings'!$B$3-$B32)))</f>
        <v/>
      </c>
      <c r="L32" s="11">
        <f>IF($A32="","",IF(OR($H32="Paused",AND($B32&lt;&gt;"",'Settings'!$B$3-$B32&lt;=14)),0,IF($E32/12&gt;=0.75,IF(1-($D32/4)/($E32/12)&gt;=0.3,ROUND(30*(1-($D32/4)/($E32/12)),0),0),0)))</f>
        <v/>
      </c>
      <c r="M32" s="11">
        <f>IF($A32="","",IF(OR($H32="Paused",AND($B32&lt;&gt;"",'Settings'!$B$3-$B32&lt;=14)),0,IF($C32="",12,IF(MAX(0,'Settings'!$B$3-$C32)&lt;=7,0,IF(MAX(0,'Settings'!$B$3-$C32)&lt;=14,6,IF(MAX(0,'Settings'!$B$3-$C32)&lt;=21,12,IF(MAX(0,'Settings'!$B$3-$C32)&lt;=35,18,20)))))))</f>
        <v/>
      </c>
      <c r="N32" s="11">
        <f>IF($A32="","",IF(AND($H32&lt;&gt;"Paused",OR($B32="",'Settings'!$B$3-$B32&gt;14),$L32=0,IF($F32&gt;=2,1-$D32/$F32&gt;=0.5,FALSE)),10,0))</f>
        <v/>
      </c>
      <c r="O32" s="11">
        <f>IF($A32="","",MIN(16,$G32*8))</f>
        <v/>
      </c>
      <c r="P32" s="11">
        <f>IF($A32="","",IF($H32="Paused",14,IF($I32&gt;0,6,0)))</f>
        <v/>
      </c>
      <c r="Q32" s="11">
        <f>IF($A32="","",IF($H32="Ended",30,0))</f>
        <v/>
      </c>
      <c r="R32" s="11">
        <f>IF($A32="","",MIN(15,$J32*8))</f>
        <v/>
      </c>
      <c r="S32" s="11">
        <f>IF($A32="","",IF(AND($B32&lt;&gt;"",$K32&lt;90,SUM($L32:$N32)&gt;0),ROUND(0.25*SUM($L32:$N32),0),0))</f>
        <v/>
      </c>
      <c r="T32" s="11">
        <f>IF($A32="","",MIN(100,SUM($L32:$S32)))</f>
        <v/>
      </c>
      <c r="U32" s="12">
        <f>IF($A32="","",IF($T32&lt;25,"Safe",IF($T32&lt;50,"Watch","At-risk")))</f>
        <v/>
      </c>
      <c r="V32" s="12">
        <f>IF($A32="","",IF($T32=0,"—",INDEX($L$1:$S$1,1,MATCH(MAX($L32:$S32),$L32:$S32,0))))</f>
        <v/>
      </c>
    </row>
    <row r="33">
      <c r="A33" s="13" t="n"/>
      <c r="B33" s="9" t="n"/>
      <c r="C33" s="9" t="n"/>
      <c r="D33" s="10" t="n"/>
      <c r="E33" s="10" t="n"/>
      <c r="F33" s="10" t="n"/>
      <c r="G33" s="10" t="n"/>
      <c r="H33" s="13" t="n"/>
      <c r="I33" s="10" t="n"/>
      <c r="J33" s="10" t="n"/>
      <c r="K33" s="11">
        <f>IF($A33="","",IF($B33="","",MAX(0,'Settings'!$B$3-$B33)))</f>
        <v/>
      </c>
      <c r="L33" s="11">
        <f>IF($A33="","",IF(OR($H33="Paused",AND($B33&lt;&gt;"",'Settings'!$B$3-$B33&lt;=14)),0,IF($E33/12&gt;=0.75,IF(1-($D33/4)/($E33/12)&gt;=0.3,ROUND(30*(1-($D33/4)/($E33/12)),0),0),0)))</f>
        <v/>
      </c>
      <c r="M33" s="11">
        <f>IF($A33="","",IF(OR($H33="Paused",AND($B33&lt;&gt;"",'Settings'!$B$3-$B33&lt;=14)),0,IF($C33="",12,IF(MAX(0,'Settings'!$B$3-$C33)&lt;=7,0,IF(MAX(0,'Settings'!$B$3-$C33)&lt;=14,6,IF(MAX(0,'Settings'!$B$3-$C33)&lt;=21,12,IF(MAX(0,'Settings'!$B$3-$C33)&lt;=35,18,20)))))))</f>
        <v/>
      </c>
      <c r="N33" s="11">
        <f>IF($A33="","",IF(AND($H33&lt;&gt;"Paused",OR($B33="",'Settings'!$B$3-$B33&gt;14),$L33=0,IF($F33&gt;=2,1-$D33/$F33&gt;=0.5,FALSE)),10,0))</f>
        <v/>
      </c>
      <c r="O33" s="11">
        <f>IF($A33="","",MIN(16,$G33*8))</f>
        <v/>
      </c>
      <c r="P33" s="11">
        <f>IF($A33="","",IF($H33="Paused",14,IF($I33&gt;0,6,0)))</f>
        <v/>
      </c>
      <c r="Q33" s="11">
        <f>IF($A33="","",IF($H33="Ended",30,0))</f>
        <v/>
      </c>
      <c r="R33" s="11">
        <f>IF($A33="","",MIN(15,$J33*8))</f>
        <v/>
      </c>
      <c r="S33" s="11">
        <f>IF($A33="","",IF(AND($B33&lt;&gt;"",$K33&lt;90,SUM($L33:$N33)&gt;0),ROUND(0.25*SUM($L33:$N33),0),0))</f>
        <v/>
      </c>
      <c r="T33" s="11">
        <f>IF($A33="","",MIN(100,SUM($L33:$S33)))</f>
        <v/>
      </c>
      <c r="U33" s="12">
        <f>IF($A33="","",IF($T33&lt;25,"Safe",IF($T33&lt;50,"Watch","At-risk")))</f>
        <v/>
      </c>
      <c r="V33" s="12">
        <f>IF($A33="","",IF($T33=0,"—",INDEX($L$1:$S$1,1,MATCH(MAX($L33:$S33),$L33:$S33,0))))</f>
        <v/>
      </c>
    </row>
    <row r="34">
      <c r="A34" s="13" t="n"/>
      <c r="B34" s="9" t="n"/>
      <c r="C34" s="9" t="n"/>
      <c r="D34" s="10" t="n"/>
      <c r="E34" s="10" t="n"/>
      <c r="F34" s="10" t="n"/>
      <c r="G34" s="10" t="n"/>
      <c r="H34" s="13" t="n"/>
      <c r="I34" s="10" t="n"/>
      <c r="J34" s="10" t="n"/>
      <c r="K34" s="11">
        <f>IF($A34="","",IF($B34="","",MAX(0,'Settings'!$B$3-$B34)))</f>
        <v/>
      </c>
      <c r="L34" s="11">
        <f>IF($A34="","",IF(OR($H34="Paused",AND($B34&lt;&gt;"",'Settings'!$B$3-$B34&lt;=14)),0,IF($E34/12&gt;=0.75,IF(1-($D34/4)/($E34/12)&gt;=0.3,ROUND(30*(1-($D34/4)/($E34/12)),0),0),0)))</f>
        <v/>
      </c>
      <c r="M34" s="11">
        <f>IF($A34="","",IF(OR($H34="Paused",AND($B34&lt;&gt;"",'Settings'!$B$3-$B34&lt;=14)),0,IF($C34="",12,IF(MAX(0,'Settings'!$B$3-$C34)&lt;=7,0,IF(MAX(0,'Settings'!$B$3-$C34)&lt;=14,6,IF(MAX(0,'Settings'!$B$3-$C34)&lt;=21,12,IF(MAX(0,'Settings'!$B$3-$C34)&lt;=35,18,20)))))))</f>
        <v/>
      </c>
      <c r="N34" s="11">
        <f>IF($A34="","",IF(AND($H34&lt;&gt;"Paused",OR($B34="",'Settings'!$B$3-$B34&gt;14),$L34=0,IF($F34&gt;=2,1-$D34/$F34&gt;=0.5,FALSE)),10,0))</f>
        <v/>
      </c>
      <c r="O34" s="11">
        <f>IF($A34="","",MIN(16,$G34*8))</f>
        <v/>
      </c>
      <c r="P34" s="11">
        <f>IF($A34="","",IF($H34="Paused",14,IF($I34&gt;0,6,0)))</f>
        <v/>
      </c>
      <c r="Q34" s="11">
        <f>IF($A34="","",IF($H34="Ended",30,0))</f>
        <v/>
      </c>
      <c r="R34" s="11">
        <f>IF($A34="","",MIN(15,$J34*8))</f>
        <v/>
      </c>
      <c r="S34" s="11">
        <f>IF($A34="","",IF(AND($B34&lt;&gt;"",$K34&lt;90,SUM($L34:$N34)&gt;0),ROUND(0.25*SUM($L34:$N34),0),0))</f>
        <v/>
      </c>
      <c r="T34" s="11">
        <f>IF($A34="","",MIN(100,SUM($L34:$S34)))</f>
        <v/>
      </c>
      <c r="U34" s="12">
        <f>IF($A34="","",IF($T34&lt;25,"Safe",IF($T34&lt;50,"Watch","At-risk")))</f>
        <v/>
      </c>
      <c r="V34" s="12">
        <f>IF($A34="","",IF($T34=0,"—",INDEX($L$1:$S$1,1,MATCH(MAX($L34:$S34),$L34:$S34,0))))</f>
        <v/>
      </c>
    </row>
    <row r="35">
      <c r="A35" s="13" t="n"/>
      <c r="B35" s="9" t="n"/>
      <c r="C35" s="9" t="n"/>
      <c r="D35" s="10" t="n"/>
      <c r="E35" s="10" t="n"/>
      <c r="F35" s="10" t="n"/>
      <c r="G35" s="10" t="n"/>
      <c r="H35" s="13" t="n"/>
      <c r="I35" s="10" t="n"/>
      <c r="J35" s="10" t="n"/>
      <c r="K35" s="11">
        <f>IF($A35="","",IF($B35="","",MAX(0,'Settings'!$B$3-$B35)))</f>
        <v/>
      </c>
      <c r="L35" s="11">
        <f>IF($A35="","",IF(OR($H35="Paused",AND($B35&lt;&gt;"",'Settings'!$B$3-$B35&lt;=14)),0,IF($E35/12&gt;=0.75,IF(1-($D35/4)/($E35/12)&gt;=0.3,ROUND(30*(1-($D35/4)/($E35/12)),0),0),0)))</f>
        <v/>
      </c>
      <c r="M35" s="11">
        <f>IF($A35="","",IF(OR($H35="Paused",AND($B35&lt;&gt;"",'Settings'!$B$3-$B35&lt;=14)),0,IF($C35="",12,IF(MAX(0,'Settings'!$B$3-$C35)&lt;=7,0,IF(MAX(0,'Settings'!$B$3-$C35)&lt;=14,6,IF(MAX(0,'Settings'!$B$3-$C35)&lt;=21,12,IF(MAX(0,'Settings'!$B$3-$C35)&lt;=35,18,20)))))))</f>
        <v/>
      </c>
      <c r="N35" s="11">
        <f>IF($A35="","",IF(AND($H35&lt;&gt;"Paused",OR($B35="",'Settings'!$B$3-$B35&gt;14),$L35=0,IF($F35&gt;=2,1-$D35/$F35&gt;=0.5,FALSE)),10,0))</f>
        <v/>
      </c>
      <c r="O35" s="11">
        <f>IF($A35="","",MIN(16,$G35*8))</f>
        <v/>
      </c>
      <c r="P35" s="11">
        <f>IF($A35="","",IF($H35="Paused",14,IF($I35&gt;0,6,0)))</f>
        <v/>
      </c>
      <c r="Q35" s="11">
        <f>IF($A35="","",IF($H35="Ended",30,0))</f>
        <v/>
      </c>
      <c r="R35" s="11">
        <f>IF($A35="","",MIN(15,$J35*8))</f>
        <v/>
      </c>
      <c r="S35" s="11">
        <f>IF($A35="","",IF(AND($B35&lt;&gt;"",$K35&lt;90,SUM($L35:$N35)&gt;0),ROUND(0.25*SUM($L35:$N35),0),0))</f>
        <v/>
      </c>
      <c r="T35" s="11">
        <f>IF($A35="","",MIN(100,SUM($L35:$S35)))</f>
        <v/>
      </c>
      <c r="U35" s="12">
        <f>IF($A35="","",IF($T35&lt;25,"Safe",IF($T35&lt;50,"Watch","At-risk")))</f>
        <v/>
      </c>
      <c r="V35" s="12">
        <f>IF($A35="","",IF($T35=0,"—",INDEX($L$1:$S$1,1,MATCH(MAX($L35:$S35),$L35:$S35,0))))</f>
        <v/>
      </c>
    </row>
    <row r="36">
      <c r="A36" s="13" t="n"/>
      <c r="B36" s="9" t="n"/>
      <c r="C36" s="9" t="n"/>
      <c r="D36" s="10" t="n"/>
      <c r="E36" s="10" t="n"/>
      <c r="F36" s="10" t="n"/>
      <c r="G36" s="10" t="n"/>
      <c r="H36" s="13" t="n"/>
      <c r="I36" s="10" t="n"/>
      <c r="J36" s="10" t="n"/>
      <c r="K36" s="11">
        <f>IF($A36="","",IF($B36="","",MAX(0,'Settings'!$B$3-$B36)))</f>
        <v/>
      </c>
      <c r="L36" s="11">
        <f>IF($A36="","",IF(OR($H36="Paused",AND($B36&lt;&gt;"",'Settings'!$B$3-$B36&lt;=14)),0,IF($E36/12&gt;=0.75,IF(1-($D36/4)/($E36/12)&gt;=0.3,ROUND(30*(1-($D36/4)/($E36/12)),0),0),0)))</f>
        <v/>
      </c>
      <c r="M36" s="11">
        <f>IF($A36="","",IF(OR($H36="Paused",AND($B36&lt;&gt;"",'Settings'!$B$3-$B36&lt;=14)),0,IF($C36="",12,IF(MAX(0,'Settings'!$B$3-$C36)&lt;=7,0,IF(MAX(0,'Settings'!$B$3-$C36)&lt;=14,6,IF(MAX(0,'Settings'!$B$3-$C36)&lt;=21,12,IF(MAX(0,'Settings'!$B$3-$C36)&lt;=35,18,20)))))))</f>
        <v/>
      </c>
      <c r="N36" s="11">
        <f>IF($A36="","",IF(AND($H36&lt;&gt;"Paused",OR($B36="",'Settings'!$B$3-$B36&gt;14),$L36=0,IF($F36&gt;=2,1-$D36/$F36&gt;=0.5,FALSE)),10,0))</f>
        <v/>
      </c>
      <c r="O36" s="11">
        <f>IF($A36="","",MIN(16,$G36*8))</f>
        <v/>
      </c>
      <c r="P36" s="11">
        <f>IF($A36="","",IF($H36="Paused",14,IF($I36&gt;0,6,0)))</f>
        <v/>
      </c>
      <c r="Q36" s="11">
        <f>IF($A36="","",IF($H36="Ended",30,0))</f>
        <v/>
      </c>
      <c r="R36" s="11">
        <f>IF($A36="","",MIN(15,$J36*8))</f>
        <v/>
      </c>
      <c r="S36" s="11">
        <f>IF($A36="","",IF(AND($B36&lt;&gt;"",$K36&lt;90,SUM($L36:$N36)&gt;0),ROUND(0.25*SUM($L36:$N36),0),0))</f>
        <v/>
      </c>
      <c r="T36" s="11">
        <f>IF($A36="","",MIN(100,SUM($L36:$S36)))</f>
        <v/>
      </c>
      <c r="U36" s="12">
        <f>IF($A36="","",IF($T36&lt;25,"Safe",IF($T36&lt;50,"Watch","At-risk")))</f>
        <v/>
      </c>
      <c r="V36" s="12">
        <f>IF($A36="","",IF($T36=0,"—",INDEX($L$1:$S$1,1,MATCH(MAX($L36:$S36),$L36:$S36,0))))</f>
        <v/>
      </c>
    </row>
    <row r="37">
      <c r="A37" s="13" t="n"/>
      <c r="B37" s="9" t="n"/>
      <c r="C37" s="9" t="n"/>
      <c r="D37" s="10" t="n"/>
      <c r="E37" s="10" t="n"/>
      <c r="F37" s="10" t="n"/>
      <c r="G37" s="10" t="n"/>
      <c r="H37" s="13" t="n"/>
      <c r="I37" s="10" t="n"/>
      <c r="J37" s="10" t="n"/>
      <c r="K37" s="11">
        <f>IF($A37="","",IF($B37="","",MAX(0,'Settings'!$B$3-$B37)))</f>
        <v/>
      </c>
      <c r="L37" s="11">
        <f>IF($A37="","",IF(OR($H37="Paused",AND($B37&lt;&gt;"",'Settings'!$B$3-$B37&lt;=14)),0,IF($E37/12&gt;=0.75,IF(1-($D37/4)/($E37/12)&gt;=0.3,ROUND(30*(1-($D37/4)/($E37/12)),0),0),0)))</f>
        <v/>
      </c>
      <c r="M37" s="11">
        <f>IF($A37="","",IF(OR($H37="Paused",AND($B37&lt;&gt;"",'Settings'!$B$3-$B37&lt;=14)),0,IF($C37="",12,IF(MAX(0,'Settings'!$B$3-$C37)&lt;=7,0,IF(MAX(0,'Settings'!$B$3-$C37)&lt;=14,6,IF(MAX(0,'Settings'!$B$3-$C37)&lt;=21,12,IF(MAX(0,'Settings'!$B$3-$C37)&lt;=35,18,20)))))))</f>
        <v/>
      </c>
      <c r="N37" s="11">
        <f>IF($A37="","",IF(AND($H37&lt;&gt;"Paused",OR($B37="",'Settings'!$B$3-$B37&gt;14),$L37=0,IF($F37&gt;=2,1-$D37/$F37&gt;=0.5,FALSE)),10,0))</f>
        <v/>
      </c>
      <c r="O37" s="11">
        <f>IF($A37="","",MIN(16,$G37*8))</f>
        <v/>
      </c>
      <c r="P37" s="11">
        <f>IF($A37="","",IF($H37="Paused",14,IF($I37&gt;0,6,0)))</f>
        <v/>
      </c>
      <c r="Q37" s="11">
        <f>IF($A37="","",IF($H37="Ended",30,0))</f>
        <v/>
      </c>
      <c r="R37" s="11">
        <f>IF($A37="","",MIN(15,$J37*8))</f>
        <v/>
      </c>
      <c r="S37" s="11">
        <f>IF($A37="","",IF(AND($B37&lt;&gt;"",$K37&lt;90,SUM($L37:$N37)&gt;0),ROUND(0.25*SUM($L37:$N37),0),0))</f>
        <v/>
      </c>
      <c r="T37" s="11">
        <f>IF($A37="","",MIN(100,SUM($L37:$S37)))</f>
        <v/>
      </c>
      <c r="U37" s="12">
        <f>IF($A37="","",IF($T37&lt;25,"Safe",IF($T37&lt;50,"Watch","At-risk")))</f>
        <v/>
      </c>
      <c r="V37" s="12">
        <f>IF($A37="","",IF($T37=0,"—",INDEX($L$1:$S$1,1,MATCH(MAX($L37:$S37),$L37:$S37,0))))</f>
        <v/>
      </c>
    </row>
    <row r="38">
      <c r="A38" s="13" t="n"/>
      <c r="B38" s="9" t="n"/>
      <c r="C38" s="9" t="n"/>
      <c r="D38" s="10" t="n"/>
      <c r="E38" s="10" t="n"/>
      <c r="F38" s="10" t="n"/>
      <c r="G38" s="10" t="n"/>
      <c r="H38" s="13" t="n"/>
      <c r="I38" s="10" t="n"/>
      <c r="J38" s="10" t="n"/>
      <c r="K38" s="11">
        <f>IF($A38="","",IF($B38="","",MAX(0,'Settings'!$B$3-$B38)))</f>
        <v/>
      </c>
      <c r="L38" s="11">
        <f>IF($A38="","",IF(OR($H38="Paused",AND($B38&lt;&gt;"",'Settings'!$B$3-$B38&lt;=14)),0,IF($E38/12&gt;=0.75,IF(1-($D38/4)/($E38/12)&gt;=0.3,ROUND(30*(1-($D38/4)/($E38/12)),0),0),0)))</f>
        <v/>
      </c>
      <c r="M38" s="11">
        <f>IF($A38="","",IF(OR($H38="Paused",AND($B38&lt;&gt;"",'Settings'!$B$3-$B38&lt;=14)),0,IF($C38="",12,IF(MAX(0,'Settings'!$B$3-$C38)&lt;=7,0,IF(MAX(0,'Settings'!$B$3-$C38)&lt;=14,6,IF(MAX(0,'Settings'!$B$3-$C38)&lt;=21,12,IF(MAX(0,'Settings'!$B$3-$C38)&lt;=35,18,20)))))))</f>
        <v/>
      </c>
      <c r="N38" s="11">
        <f>IF($A38="","",IF(AND($H38&lt;&gt;"Paused",OR($B38="",'Settings'!$B$3-$B38&gt;14),$L38=0,IF($F38&gt;=2,1-$D38/$F38&gt;=0.5,FALSE)),10,0))</f>
        <v/>
      </c>
      <c r="O38" s="11">
        <f>IF($A38="","",MIN(16,$G38*8))</f>
        <v/>
      </c>
      <c r="P38" s="11">
        <f>IF($A38="","",IF($H38="Paused",14,IF($I38&gt;0,6,0)))</f>
        <v/>
      </c>
      <c r="Q38" s="11">
        <f>IF($A38="","",IF($H38="Ended",30,0))</f>
        <v/>
      </c>
      <c r="R38" s="11">
        <f>IF($A38="","",MIN(15,$J38*8))</f>
        <v/>
      </c>
      <c r="S38" s="11">
        <f>IF($A38="","",IF(AND($B38&lt;&gt;"",$K38&lt;90,SUM($L38:$N38)&gt;0),ROUND(0.25*SUM($L38:$N38),0),0))</f>
        <v/>
      </c>
      <c r="T38" s="11">
        <f>IF($A38="","",MIN(100,SUM($L38:$S38)))</f>
        <v/>
      </c>
      <c r="U38" s="12">
        <f>IF($A38="","",IF($T38&lt;25,"Safe",IF($T38&lt;50,"Watch","At-risk")))</f>
        <v/>
      </c>
      <c r="V38" s="12">
        <f>IF($A38="","",IF($T38=0,"—",INDEX($L$1:$S$1,1,MATCH(MAX($L38:$S38),$L38:$S38,0))))</f>
        <v/>
      </c>
    </row>
    <row r="39">
      <c r="A39" s="13" t="n"/>
      <c r="B39" s="9" t="n"/>
      <c r="C39" s="9" t="n"/>
      <c r="D39" s="10" t="n"/>
      <c r="E39" s="10" t="n"/>
      <c r="F39" s="10" t="n"/>
      <c r="G39" s="10" t="n"/>
      <c r="H39" s="13" t="n"/>
      <c r="I39" s="10" t="n"/>
      <c r="J39" s="10" t="n"/>
      <c r="K39" s="11">
        <f>IF($A39="","",IF($B39="","",MAX(0,'Settings'!$B$3-$B39)))</f>
        <v/>
      </c>
      <c r="L39" s="11">
        <f>IF($A39="","",IF(OR($H39="Paused",AND($B39&lt;&gt;"",'Settings'!$B$3-$B39&lt;=14)),0,IF($E39/12&gt;=0.75,IF(1-($D39/4)/($E39/12)&gt;=0.3,ROUND(30*(1-($D39/4)/($E39/12)),0),0),0)))</f>
        <v/>
      </c>
      <c r="M39" s="11">
        <f>IF($A39="","",IF(OR($H39="Paused",AND($B39&lt;&gt;"",'Settings'!$B$3-$B39&lt;=14)),0,IF($C39="",12,IF(MAX(0,'Settings'!$B$3-$C39)&lt;=7,0,IF(MAX(0,'Settings'!$B$3-$C39)&lt;=14,6,IF(MAX(0,'Settings'!$B$3-$C39)&lt;=21,12,IF(MAX(0,'Settings'!$B$3-$C39)&lt;=35,18,20)))))))</f>
        <v/>
      </c>
      <c r="N39" s="11">
        <f>IF($A39="","",IF(AND($H39&lt;&gt;"Paused",OR($B39="",'Settings'!$B$3-$B39&gt;14),$L39=0,IF($F39&gt;=2,1-$D39/$F39&gt;=0.5,FALSE)),10,0))</f>
        <v/>
      </c>
      <c r="O39" s="11">
        <f>IF($A39="","",MIN(16,$G39*8))</f>
        <v/>
      </c>
      <c r="P39" s="11">
        <f>IF($A39="","",IF($H39="Paused",14,IF($I39&gt;0,6,0)))</f>
        <v/>
      </c>
      <c r="Q39" s="11">
        <f>IF($A39="","",IF($H39="Ended",30,0))</f>
        <v/>
      </c>
      <c r="R39" s="11">
        <f>IF($A39="","",MIN(15,$J39*8))</f>
        <v/>
      </c>
      <c r="S39" s="11">
        <f>IF($A39="","",IF(AND($B39&lt;&gt;"",$K39&lt;90,SUM($L39:$N39)&gt;0),ROUND(0.25*SUM($L39:$N39),0),0))</f>
        <v/>
      </c>
      <c r="T39" s="11">
        <f>IF($A39="","",MIN(100,SUM($L39:$S39)))</f>
        <v/>
      </c>
      <c r="U39" s="12">
        <f>IF($A39="","",IF($T39&lt;25,"Safe",IF($T39&lt;50,"Watch","At-risk")))</f>
        <v/>
      </c>
      <c r="V39" s="12">
        <f>IF($A39="","",IF($T39=0,"—",INDEX($L$1:$S$1,1,MATCH(MAX($L39:$S39),$L39:$S39,0))))</f>
        <v/>
      </c>
    </row>
    <row r="40">
      <c r="A40" s="13" t="n"/>
      <c r="B40" s="9" t="n"/>
      <c r="C40" s="9" t="n"/>
      <c r="D40" s="10" t="n"/>
      <c r="E40" s="10" t="n"/>
      <c r="F40" s="10" t="n"/>
      <c r="G40" s="10" t="n"/>
      <c r="H40" s="13" t="n"/>
      <c r="I40" s="10" t="n"/>
      <c r="J40" s="10" t="n"/>
      <c r="K40" s="11">
        <f>IF($A40="","",IF($B40="","",MAX(0,'Settings'!$B$3-$B40)))</f>
        <v/>
      </c>
      <c r="L40" s="11">
        <f>IF($A40="","",IF(OR($H40="Paused",AND($B40&lt;&gt;"",'Settings'!$B$3-$B40&lt;=14)),0,IF($E40/12&gt;=0.75,IF(1-($D40/4)/($E40/12)&gt;=0.3,ROUND(30*(1-($D40/4)/($E40/12)),0),0),0)))</f>
        <v/>
      </c>
      <c r="M40" s="11">
        <f>IF($A40="","",IF(OR($H40="Paused",AND($B40&lt;&gt;"",'Settings'!$B$3-$B40&lt;=14)),0,IF($C40="",12,IF(MAX(0,'Settings'!$B$3-$C40)&lt;=7,0,IF(MAX(0,'Settings'!$B$3-$C40)&lt;=14,6,IF(MAX(0,'Settings'!$B$3-$C40)&lt;=21,12,IF(MAX(0,'Settings'!$B$3-$C40)&lt;=35,18,20)))))))</f>
        <v/>
      </c>
      <c r="N40" s="11">
        <f>IF($A40="","",IF(AND($H40&lt;&gt;"Paused",OR($B40="",'Settings'!$B$3-$B40&gt;14),$L40=0,IF($F40&gt;=2,1-$D40/$F40&gt;=0.5,FALSE)),10,0))</f>
        <v/>
      </c>
      <c r="O40" s="11">
        <f>IF($A40="","",MIN(16,$G40*8))</f>
        <v/>
      </c>
      <c r="P40" s="11">
        <f>IF($A40="","",IF($H40="Paused",14,IF($I40&gt;0,6,0)))</f>
        <v/>
      </c>
      <c r="Q40" s="11">
        <f>IF($A40="","",IF($H40="Ended",30,0))</f>
        <v/>
      </c>
      <c r="R40" s="11">
        <f>IF($A40="","",MIN(15,$J40*8))</f>
        <v/>
      </c>
      <c r="S40" s="11">
        <f>IF($A40="","",IF(AND($B40&lt;&gt;"",$K40&lt;90,SUM($L40:$N40)&gt;0),ROUND(0.25*SUM($L40:$N40),0),0))</f>
        <v/>
      </c>
      <c r="T40" s="11">
        <f>IF($A40="","",MIN(100,SUM($L40:$S40)))</f>
        <v/>
      </c>
      <c r="U40" s="12">
        <f>IF($A40="","",IF($T40&lt;25,"Safe",IF($T40&lt;50,"Watch","At-risk")))</f>
        <v/>
      </c>
      <c r="V40" s="12">
        <f>IF($A40="","",IF($T40=0,"—",INDEX($L$1:$S$1,1,MATCH(MAX($L40:$S40),$L40:$S40,0))))</f>
        <v/>
      </c>
    </row>
    <row r="41">
      <c r="A41" s="13" t="n"/>
      <c r="B41" s="9" t="n"/>
      <c r="C41" s="9" t="n"/>
      <c r="D41" s="10" t="n"/>
      <c r="E41" s="10" t="n"/>
      <c r="F41" s="10" t="n"/>
      <c r="G41" s="10" t="n"/>
      <c r="H41" s="13" t="n"/>
      <c r="I41" s="10" t="n"/>
      <c r="J41" s="10" t="n"/>
      <c r="K41" s="11">
        <f>IF($A41="","",IF($B41="","",MAX(0,'Settings'!$B$3-$B41)))</f>
        <v/>
      </c>
      <c r="L41" s="11">
        <f>IF($A41="","",IF(OR($H41="Paused",AND($B41&lt;&gt;"",'Settings'!$B$3-$B41&lt;=14)),0,IF($E41/12&gt;=0.75,IF(1-($D41/4)/($E41/12)&gt;=0.3,ROUND(30*(1-($D41/4)/($E41/12)),0),0),0)))</f>
        <v/>
      </c>
      <c r="M41" s="11">
        <f>IF($A41="","",IF(OR($H41="Paused",AND($B41&lt;&gt;"",'Settings'!$B$3-$B41&lt;=14)),0,IF($C41="",12,IF(MAX(0,'Settings'!$B$3-$C41)&lt;=7,0,IF(MAX(0,'Settings'!$B$3-$C41)&lt;=14,6,IF(MAX(0,'Settings'!$B$3-$C41)&lt;=21,12,IF(MAX(0,'Settings'!$B$3-$C41)&lt;=35,18,20)))))))</f>
        <v/>
      </c>
      <c r="N41" s="11">
        <f>IF($A41="","",IF(AND($H41&lt;&gt;"Paused",OR($B41="",'Settings'!$B$3-$B41&gt;14),$L41=0,IF($F41&gt;=2,1-$D41/$F41&gt;=0.5,FALSE)),10,0))</f>
        <v/>
      </c>
      <c r="O41" s="11">
        <f>IF($A41="","",MIN(16,$G41*8))</f>
        <v/>
      </c>
      <c r="P41" s="11">
        <f>IF($A41="","",IF($H41="Paused",14,IF($I41&gt;0,6,0)))</f>
        <v/>
      </c>
      <c r="Q41" s="11">
        <f>IF($A41="","",IF($H41="Ended",30,0))</f>
        <v/>
      </c>
      <c r="R41" s="11">
        <f>IF($A41="","",MIN(15,$J41*8))</f>
        <v/>
      </c>
      <c r="S41" s="11">
        <f>IF($A41="","",IF(AND($B41&lt;&gt;"",$K41&lt;90,SUM($L41:$N41)&gt;0),ROUND(0.25*SUM($L41:$N41),0),0))</f>
        <v/>
      </c>
      <c r="T41" s="11">
        <f>IF($A41="","",MIN(100,SUM($L41:$S41)))</f>
        <v/>
      </c>
      <c r="U41" s="12">
        <f>IF($A41="","",IF($T41&lt;25,"Safe",IF($T41&lt;50,"Watch","At-risk")))</f>
        <v/>
      </c>
      <c r="V41" s="12">
        <f>IF($A41="","",IF($T41=0,"—",INDEX($L$1:$S$1,1,MATCH(MAX($L41:$S41),$L41:$S41,0))))</f>
        <v/>
      </c>
    </row>
    <row r="42">
      <c r="A42" s="13" t="n"/>
      <c r="B42" s="9" t="n"/>
      <c r="C42" s="9" t="n"/>
      <c r="D42" s="10" t="n"/>
      <c r="E42" s="10" t="n"/>
      <c r="F42" s="10" t="n"/>
      <c r="G42" s="10" t="n"/>
      <c r="H42" s="13" t="n"/>
      <c r="I42" s="10" t="n"/>
      <c r="J42" s="10" t="n"/>
      <c r="K42" s="11">
        <f>IF($A42="","",IF($B42="","",MAX(0,'Settings'!$B$3-$B42)))</f>
        <v/>
      </c>
      <c r="L42" s="11">
        <f>IF($A42="","",IF(OR($H42="Paused",AND($B42&lt;&gt;"",'Settings'!$B$3-$B42&lt;=14)),0,IF($E42/12&gt;=0.75,IF(1-($D42/4)/($E42/12)&gt;=0.3,ROUND(30*(1-($D42/4)/($E42/12)),0),0),0)))</f>
        <v/>
      </c>
      <c r="M42" s="11">
        <f>IF($A42="","",IF(OR($H42="Paused",AND($B42&lt;&gt;"",'Settings'!$B$3-$B42&lt;=14)),0,IF($C42="",12,IF(MAX(0,'Settings'!$B$3-$C42)&lt;=7,0,IF(MAX(0,'Settings'!$B$3-$C42)&lt;=14,6,IF(MAX(0,'Settings'!$B$3-$C42)&lt;=21,12,IF(MAX(0,'Settings'!$B$3-$C42)&lt;=35,18,20)))))))</f>
        <v/>
      </c>
      <c r="N42" s="11">
        <f>IF($A42="","",IF(AND($H42&lt;&gt;"Paused",OR($B42="",'Settings'!$B$3-$B42&gt;14),$L42=0,IF($F42&gt;=2,1-$D42/$F42&gt;=0.5,FALSE)),10,0))</f>
        <v/>
      </c>
      <c r="O42" s="11">
        <f>IF($A42="","",MIN(16,$G42*8))</f>
        <v/>
      </c>
      <c r="P42" s="11">
        <f>IF($A42="","",IF($H42="Paused",14,IF($I42&gt;0,6,0)))</f>
        <v/>
      </c>
      <c r="Q42" s="11">
        <f>IF($A42="","",IF($H42="Ended",30,0))</f>
        <v/>
      </c>
      <c r="R42" s="11">
        <f>IF($A42="","",MIN(15,$J42*8))</f>
        <v/>
      </c>
      <c r="S42" s="11">
        <f>IF($A42="","",IF(AND($B42&lt;&gt;"",$K42&lt;90,SUM($L42:$N42)&gt;0),ROUND(0.25*SUM($L42:$N42),0),0))</f>
        <v/>
      </c>
      <c r="T42" s="11">
        <f>IF($A42="","",MIN(100,SUM($L42:$S42)))</f>
        <v/>
      </c>
      <c r="U42" s="12">
        <f>IF($A42="","",IF($T42&lt;25,"Safe",IF($T42&lt;50,"Watch","At-risk")))</f>
        <v/>
      </c>
      <c r="V42" s="12">
        <f>IF($A42="","",IF($T42=0,"—",INDEX($L$1:$S$1,1,MATCH(MAX($L42:$S42),$L42:$S42,0))))</f>
        <v/>
      </c>
    </row>
    <row r="43">
      <c r="A43" s="13" t="n"/>
      <c r="B43" s="9" t="n"/>
      <c r="C43" s="9" t="n"/>
      <c r="D43" s="10" t="n"/>
      <c r="E43" s="10" t="n"/>
      <c r="F43" s="10" t="n"/>
      <c r="G43" s="10" t="n"/>
      <c r="H43" s="13" t="n"/>
      <c r="I43" s="10" t="n"/>
      <c r="J43" s="10" t="n"/>
      <c r="K43" s="11">
        <f>IF($A43="","",IF($B43="","",MAX(0,'Settings'!$B$3-$B43)))</f>
        <v/>
      </c>
      <c r="L43" s="11">
        <f>IF($A43="","",IF(OR($H43="Paused",AND($B43&lt;&gt;"",'Settings'!$B$3-$B43&lt;=14)),0,IF($E43/12&gt;=0.75,IF(1-($D43/4)/($E43/12)&gt;=0.3,ROUND(30*(1-($D43/4)/($E43/12)),0),0),0)))</f>
        <v/>
      </c>
      <c r="M43" s="11">
        <f>IF($A43="","",IF(OR($H43="Paused",AND($B43&lt;&gt;"",'Settings'!$B$3-$B43&lt;=14)),0,IF($C43="",12,IF(MAX(0,'Settings'!$B$3-$C43)&lt;=7,0,IF(MAX(0,'Settings'!$B$3-$C43)&lt;=14,6,IF(MAX(0,'Settings'!$B$3-$C43)&lt;=21,12,IF(MAX(0,'Settings'!$B$3-$C43)&lt;=35,18,20)))))))</f>
        <v/>
      </c>
      <c r="N43" s="11">
        <f>IF($A43="","",IF(AND($H43&lt;&gt;"Paused",OR($B43="",'Settings'!$B$3-$B43&gt;14),$L43=0,IF($F43&gt;=2,1-$D43/$F43&gt;=0.5,FALSE)),10,0))</f>
        <v/>
      </c>
      <c r="O43" s="11">
        <f>IF($A43="","",MIN(16,$G43*8))</f>
        <v/>
      </c>
      <c r="P43" s="11">
        <f>IF($A43="","",IF($H43="Paused",14,IF($I43&gt;0,6,0)))</f>
        <v/>
      </c>
      <c r="Q43" s="11">
        <f>IF($A43="","",IF($H43="Ended",30,0))</f>
        <v/>
      </c>
      <c r="R43" s="11">
        <f>IF($A43="","",MIN(15,$J43*8))</f>
        <v/>
      </c>
      <c r="S43" s="11">
        <f>IF($A43="","",IF(AND($B43&lt;&gt;"",$K43&lt;90,SUM($L43:$N43)&gt;0),ROUND(0.25*SUM($L43:$N43),0),0))</f>
        <v/>
      </c>
      <c r="T43" s="11">
        <f>IF($A43="","",MIN(100,SUM($L43:$S43)))</f>
        <v/>
      </c>
      <c r="U43" s="12">
        <f>IF($A43="","",IF($T43&lt;25,"Safe",IF($T43&lt;50,"Watch","At-risk")))</f>
        <v/>
      </c>
      <c r="V43" s="12">
        <f>IF($A43="","",IF($T43=0,"—",INDEX($L$1:$S$1,1,MATCH(MAX($L43:$S43),$L43:$S43,0))))</f>
        <v/>
      </c>
    </row>
    <row r="44">
      <c r="A44" s="13" t="n"/>
      <c r="B44" s="9" t="n"/>
      <c r="C44" s="9" t="n"/>
      <c r="D44" s="10" t="n"/>
      <c r="E44" s="10" t="n"/>
      <c r="F44" s="10" t="n"/>
      <c r="G44" s="10" t="n"/>
      <c r="H44" s="13" t="n"/>
      <c r="I44" s="10" t="n"/>
      <c r="J44" s="10" t="n"/>
      <c r="K44" s="11">
        <f>IF($A44="","",IF($B44="","",MAX(0,'Settings'!$B$3-$B44)))</f>
        <v/>
      </c>
      <c r="L44" s="11">
        <f>IF($A44="","",IF(OR($H44="Paused",AND($B44&lt;&gt;"",'Settings'!$B$3-$B44&lt;=14)),0,IF($E44/12&gt;=0.75,IF(1-($D44/4)/($E44/12)&gt;=0.3,ROUND(30*(1-($D44/4)/($E44/12)),0),0),0)))</f>
        <v/>
      </c>
      <c r="M44" s="11">
        <f>IF($A44="","",IF(OR($H44="Paused",AND($B44&lt;&gt;"",'Settings'!$B$3-$B44&lt;=14)),0,IF($C44="",12,IF(MAX(0,'Settings'!$B$3-$C44)&lt;=7,0,IF(MAX(0,'Settings'!$B$3-$C44)&lt;=14,6,IF(MAX(0,'Settings'!$B$3-$C44)&lt;=21,12,IF(MAX(0,'Settings'!$B$3-$C44)&lt;=35,18,20)))))))</f>
        <v/>
      </c>
      <c r="N44" s="11">
        <f>IF($A44="","",IF(AND($H44&lt;&gt;"Paused",OR($B44="",'Settings'!$B$3-$B44&gt;14),$L44=0,IF($F44&gt;=2,1-$D44/$F44&gt;=0.5,FALSE)),10,0))</f>
        <v/>
      </c>
      <c r="O44" s="11">
        <f>IF($A44="","",MIN(16,$G44*8))</f>
        <v/>
      </c>
      <c r="P44" s="11">
        <f>IF($A44="","",IF($H44="Paused",14,IF($I44&gt;0,6,0)))</f>
        <v/>
      </c>
      <c r="Q44" s="11">
        <f>IF($A44="","",IF($H44="Ended",30,0))</f>
        <v/>
      </c>
      <c r="R44" s="11">
        <f>IF($A44="","",MIN(15,$J44*8))</f>
        <v/>
      </c>
      <c r="S44" s="11">
        <f>IF($A44="","",IF(AND($B44&lt;&gt;"",$K44&lt;90,SUM($L44:$N44)&gt;0),ROUND(0.25*SUM($L44:$N44),0),0))</f>
        <v/>
      </c>
      <c r="T44" s="11">
        <f>IF($A44="","",MIN(100,SUM($L44:$S44)))</f>
        <v/>
      </c>
      <c r="U44" s="12">
        <f>IF($A44="","",IF($T44&lt;25,"Safe",IF($T44&lt;50,"Watch","At-risk")))</f>
        <v/>
      </c>
      <c r="V44" s="12">
        <f>IF($A44="","",IF($T44=0,"—",INDEX($L$1:$S$1,1,MATCH(MAX($L44:$S44),$L44:$S44,0))))</f>
        <v/>
      </c>
    </row>
    <row r="45">
      <c r="A45" s="13" t="n"/>
      <c r="B45" s="9" t="n"/>
      <c r="C45" s="9" t="n"/>
      <c r="D45" s="10" t="n"/>
      <c r="E45" s="10" t="n"/>
      <c r="F45" s="10" t="n"/>
      <c r="G45" s="10" t="n"/>
      <c r="H45" s="13" t="n"/>
      <c r="I45" s="10" t="n"/>
      <c r="J45" s="10" t="n"/>
      <c r="K45" s="11">
        <f>IF($A45="","",IF($B45="","",MAX(0,'Settings'!$B$3-$B45)))</f>
        <v/>
      </c>
      <c r="L45" s="11">
        <f>IF($A45="","",IF(OR($H45="Paused",AND($B45&lt;&gt;"",'Settings'!$B$3-$B45&lt;=14)),0,IF($E45/12&gt;=0.75,IF(1-($D45/4)/($E45/12)&gt;=0.3,ROUND(30*(1-($D45/4)/($E45/12)),0),0),0)))</f>
        <v/>
      </c>
      <c r="M45" s="11">
        <f>IF($A45="","",IF(OR($H45="Paused",AND($B45&lt;&gt;"",'Settings'!$B$3-$B45&lt;=14)),0,IF($C45="",12,IF(MAX(0,'Settings'!$B$3-$C45)&lt;=7,0,IF(MAX(0,'Settings'!$B$3-$C45)&lt;=14,6,IF(MAX(0,'Settings'!$B$3-$C45)&lt;=21,12,IF(MAX(0,'Settings'!$B$3-$C45)&lt;=35,18,20)))))))</f>
        <v/>
      </c>
      <c r="N45" s="11">
        <f>IF($A45="","",IF(AND($H45&lt;&gt;"Paused",OR($B45="",'Settings'!$B$3-$B45&gt;14),$L45=0,IF($F45&gt;=2,1-$D45/$F45&gt;=0.5,FALSE)),10,0))</f>
        <v/>
      </c>
      <c r="O45" s="11">
        <f>IF($A45="","",MIN(16,$G45*8))</f>
        <v/>
      </c>
      <c r="P45" s="11">
        <f>IF($A45="","",IF($H45="Paused",14,IF($I45&gt;0,6,0)))</f>
        <v/>
      </c>
      <c r="Q45" s="11">
        <f>IF($A45="","",IF($H45="Ended",30,0))</f>
        <v/>
      </c>
      <c r="R45" s="11">
        <f>IF($A45="","",MIN(15,$J45*8))</f>
        <v/>
      </c>
      <c r="S45" s="11">
        <f>IF($A45="","",IF(AND($B45&lt;&gt;"",$K45&lt;90,SUM($L45:$N45)&gt;0),ROUND(0.25*SUM($L45:$N45),0),0))</f>
        <v/>
      </c>
      <c r="T45" s="11">
        <f>IF($A45="","",MIN(100,SUM($L45:$S45)))</f>
        <v/>
      </c>
      <c r="U45" s="12">
        <f>IF($A45="","",IF($T45&lt;25,"Safe",IF($T45&lt;50,"Watch","At-risk")))</f>
        <v/>
      </c>
      <c r="V45" s="12">
        <f>IF($A45="","",IF($T45=0,"—",INDEX($L$1:$S$1,1,MATCH(MAX($L45:$S45),$L45:$S45,0))))</f>
        <v/>
      </c>
    </row>
    <row r="46">
      <c r="A46" s="13" t="n"/>
      <c r="B46" s="9" t="n"/>
      <c r="C46" s="9" t="n"/>
      <c r="D46" s="10" t="n"/>
      <c r="E46" s="10" t="n"/>
      <c r="F46" s="10" t="n"/>
      <c r="G46" s="10" t="n"/>
      <c r="H46" s="13" t="n"/>
      <c r="I46" s="10" t="n"/>
      <c r="J46" s="10" t="n"/>
      <c r="K46" s="11">
        <f>IF($A46="","",IF($B46="","",MAX(0,'Settings'!$B$3-$B46)))</f>
        <v/>
      </c>
      <c r="L46" s="11">
        <f>IF($A46="","",IF(OR($H46="Paused",AND($B46&lt;&gt;"",'Settings'!$B$3-$B46&lt;=14)),0,IF($E46/12&gt;=0.75,IF(1-($D46/4)/($E46/12)&gt;=0.3,ROUND(30*(1-($D46/4)/($E46/12)),0),0),0)))</f>
        <v/>
      </c>
      <c r="M46" s="11">
        <f>IF($A46="","",IF(OR($H46="Paused",AND($B46&lt;&gt;"",'Settings'!$B$3-$B46&lt;=14)),0,IF($C46="",12,IF(MAX(0,'Settings'!$B$3-$C46)&lt;=7,0,IF(MAX(0,'Settings'!$B$3-$C46)&lt;=14,6,IF(MAX(0,'Settings'!$B$3-$C46)&lt;=21,12,IF(MAX(0,'Settings'!$B$3-$C46)&lt;=35,18,20)))))))</f>
        <v/>
      </c>
      <c r="N46" s="11">
        <f>IF($A46="","",IF(AND($H46&lt;&gt;"Paused",OR($B46="",'Settings'!$B$3-$B46&gt;14),$L46=0,IF($F46&gt;=2,1-$D46/$F46&gt;=0.5,FALSE)),10,0))</f>
        <v/>
      </c>
      <c r="O46" s="11">
        <f>IF($A46="","",MIN(16,$G46*8))</f>
        <v/>
      </c>
      <c r="P46" s="11">
        <f>IF($A46="","",IF($H46="Paused",14,IF($I46&gt;0,6,0)))</f>
        <v/>
      </c>
      <c r="Q46" s="11">
        <f>IF($A46="","",IF($H46="Ended",30,0))</f>
        <v/>
      </c>
      <c r="R46" s="11">
        <f>IF($A46="","",MIN(15,$J46*8))</f>
        <v/>
      </c>
      <c r="S46" s="11">
        <f>IF($A46="","",IF(AND($B46&lt;&gt;"",$K46&lt;90,SUM($L46:$N46)&gt;0),ROUND(0.25*SUM($L46:$N46),0),0))</f>
        <v/>
      </c>
      <c r="T46" s="11">
        <f>IF($A46="","",MIN(100,SUM($L46:$S46)))</f>
        <v/>
      </c>
      <c r="U46" s="12">
        <f>IF($A46="","",IF($T46&lt;25,"Safe",IF($T46&lt;50,"Watch","At-risk")))</f>
        <v/>
      </c>
      <c r="V46" s="12">
        <f>IF($A46="","",IF($T46=0,"—",INDEX($L$1:$S$1,1,MATCH(MAX($L46:$S46),$L46:$S46,0))))</f>
        <v/>
      </c>
    </row>
    <row r="47">
      <c r="A47" s="13" t="n"/>
      <c r="B47" s="9" t="n"/>
      <c r="C47" s="9" t="n"/>
      <c r="D47" s="10" t="n"/>
      <c r="E47" s="10" t="n"/>
      <c r="F47" s="10" t="n"/>
      <c r="G47" s="10" t="n"/>
      <c r="H47" s="13" t="n"/>
      <c r="I47" s="10" t="n"/>
      <c r="J47" s="10" t="n"/>
      <c r="K47" s="11">
        <f>IF($A47="","",IF($B47="","",MAX(0,'Settings'!$B$3-$B47)))</f>
        <v/>
      </c>
      <c r="L47" s="11">
        <f>IF($A47="","",IF(OR($H47="Paused",AND($B47&lt;&gt;"",'Settings'!$B$3-$B47&lt;=14)),0,IF($E47/12&gt;=0.75,IF(1-($D47/4)/($E47/12)&gt;=0.3,ROUND(30*(1-($D47/4)/($E47/12)),0),0),0)))</f>
        <v/>
      </c>
      <c r="M47" s="11">
        <f>IF($A47="","",IF(OR($H47="Paused",AND($B47&lt;&gt;"",'Settings'!$B$3-$B47&lt;=14)),0,IF($C47="",12,IF(MAX(0,'Settings'!$B$3-$C47)&lt;=7,0,IF(MAX(0,'Settings'!$B$3-$C47)&lt;=14,6,IF(MAX(0,'Settings'!$B$3-$C47)&lt;=21,12,IF(MAX(0,'Settings'!$B$3-$C47)&lt;=35,18,20)))))))</f>
        <v/>
      </c>
      <c r="N47" s="11">
        <f>IF($A47="","",IF(AND($H47&lt;&gt;"Paused",OR($B47="",'Settings'!$B$3-$B47&gt;14),$L47=0,IF($F47&gt;=2,1-$D47/$F47&gt;=0.5,FALSE)),10,0))</f>
        <v/>
      </c>
      <c r="O47" s="11">
        <f>IF($A47="","",MIN(16,$G47*8))</f>
        <v/>
      </c>
      <c r="P47" s="11">
        <f>IF($A47="","",IF($H47="Paused",14,IF($I47&gt;0,6,0)))</f>
        <v/>
      </c>
      <c r="Q47" s="11">
        <f>IF($A47="","",IF($H47="Ended",30,0))</f>
        <v/>
      </c>
      <c r="R47" s="11">
        <f>IF($A47="","",MIN(15,$J47*8))</f>
        <v/>
      </c>
      <c r="S47" s="11">
        <f>IF($A47="","",IF(AND($B47&lt;&gt;"",$K47&lt;90,SUM($L47:$N47)&gt;0),ROUND(0.25*SUM($L47:$N47),0),0))</f>
        <v/>
      </c>
      <c r="T47" s="11">
        <f>IF($A47="","",MIN(100,SUM($L47:$S47)))</f>
        <v/>
      </c>
      <c r="U47" s="12">
        <f>IF($A47="","",IF($T47&lt;25,"Safe",IF($T47&lt;50,"Watch","At-risk")))</f>
        <v/>
      </c>
      <c r="V47" s="12">
        <f>IF($A47="","",IF($T47=0,"—",INDEX($L$1:$S$1,1,MATCH(MAX($L47:$S47),$L47:$S47,0))))</f>
        <v/>
      </c>
    </row>
    <row r="48">
      <c r="A48" s="13" t="n"/>
      <c r="B48" s="9" t="n"/>
      <c r="C48" s="9" t="n"/>
      <c r="D48" s="10" t="n"/>
      <c r="E48" s="10" t="n"/>
      <c r="F48" s="10" t="n"/>
      <c r="G48" s="10" t="n"/>
      <c r="H48" s="13" t="n"/>
      <c r="I48" s="10" t="n"/>
      <c r="J48" s="10" t="n"/>
      <c r="K48" s="11">
        <f>IF($A48="","",IF($B48="","",MAX(0,'Settings'!$B$3-$B48)))</f>
        <v/>
      </c>
      <c r="L48" s="11">
        <f>IF($A48="","",IF(OR($H48="Paused",AND($B48&lt;&gt;"",'Settings'!$B$3-$B48&lt;=14)),0,IF($E48/12&gt;=0.75,IF(1-($D48/4)/($E48/12)&gt;=0.3,ROUND(30*(1-($D48/4)/($E48/12)),0),0),0)))</f>
        <v/>
      </c>
      <c r="M48" s="11">
        <f>IF($A48="","",IF(OR($H48="Paused",AND($B48&lt;&gt;"",'Settings'!$B$3-$B48&lt;=14)),0,IF($C48="",12,IF(MAX(0,'Settings'!$B$3-$C48)&lt;=7,0,IF(MAX(0,'Settings'!$B$3-$C48)&lt;=14,6,IF(MAX(0,'Settings'!$B$3-$C48)&lt;=21,12,IF(MAX(0,'Settings'!$B$3-$C48)&lt;=35,18,20)))))))</f>
        <v/>
      </c>
      <c r="N48" s="11">
        <f>IF($A48="","",IF(AND($H48&lt;&gt;"Paused",OR($B48="",'Settings'!$B$3-$B48&gt;14),$L48=0,IF($F48&gt;=2,1-$D48/$F48&gt;=0.5,FALSE)),10,0))</f>
        <v/>
      </c>
      <c r="O48" s="11">
        <f>IF($A48="","",MIN(16,$G48*8))</f>
        <v/>
      </c>
      <c r="P48" s="11">
        <f>IF($A48="","",IF($H48="Paused",14,IF($I48&gt;0,6,0)))</f>
        <v/>
      </c>
      <c r="Q48" s="11">
        <f>IF($A48="","",IF($H48="Ended",30,0))</f>
        <v/>
      </c>
      <c r="R48" s="11">
        <f>IF($A48="","",MIN(15,$J48*8))</f>
        <v/>
      </c>
      <c r="S48" s="11">
        <f>IF($A48="","",IF(AND($B48&lt;&gt;"",$K48&lt;90,SUM($L48:$N48)&gt;0),ROUND(0.25*SUM($L48:$N48),0),0))</f>
        <v/>
      </c>
      <c r="T48" s="11">
        <f>IF($A48="","",MIN(100,SUM($L48:$S48)))</f>
        <v/>
      </c>
      <c r="U48" s="12">
        <f>IF($A48="","",IF($T48&lt;25,"Safe",IF($T48&lt;50,"Watch","At-risk")))</f>
        <v/>
      </c>
      <c r="V48" s="12">
        <f>IF($A48="","",IF($T48=0,"—",INDEX($L$1:$S$1,1,MATCH(MAX($L48:$S48),$L48:$S48,0))))</f>
        <v/>
      </c>
    </row>
    <row r="49">
      <c r="A49" s="13" t="n"/>
      <c r="B49" s="9" t="n"/>
      <c r="C49" s="9" t="n"/>
      <c r="D49" s="10" t="n"/>
      <c r="E49" s="10" t="n"/>
      <c r="F49" s="10" t="n"/>
      <c r="G49" s="10" t="n"/>
      <c r="H49" s="13" t="n"/>
      <c r="I49" s="10" t="n"/>
      <c r="J49" s="10" t="n"/>
      <c r="K49" s="11">
        <f>IF($A49="","",IF($B49="","",MAX(0,'Settings'!$B$3-$B49)))</f>
        <v/>
      </c>
      <c r="L49" s="11">
        <f>IF($A49="","",IF(OR($H49="Paused",AND($B49&lt;&gt;"",'Settings'!$B$3-$B49&lt;=14)),0,IF($E49/12&gt;=0.75,IF(1-($D49/4)/($E49/12)&gt;=0.3,ROUND(30*(1-($D49/4)/($E49/12)),0),0),0)))</f>
        <v/>
      </c>
      <c r="M49" s="11">
        <f>IF($A49="","",IF(OR($H49="Paused",AND($B49&lt;&gt;"",'Settings'!$B$3-$B49&lt;=14)),0,IF($C49="",12,IF(MAX(0,'Settings'!$B$3-$C49)&lt;=7,0,IF(MAX(0,'Settings'!$B$3-$C49)&lt;=14,6,IF(MAX(0,'Settings'!$B$3-$C49)&lt;=21,12,IF(MAX(0,'Settings'!$B$3-$C49)&lt;=35,18,20)))))))</f>
        <v/>
      </c>
      <c r="N49" s="11">
        <f>IF($A49="","",IF(AND($H49&lt;&gt;"Paused",OR($B49="",'Settings'!$B$3-$B49&gt;14),$L49=0,IF($F49&gt;=2,1-$D49/$F49&gt;=0.5,FALSE)),10,0))</f>
        <v/>
      </c>
      <c r="O49" s="11">
        <f>IF($A49="","",MIN(16,$G49*8))</f>
        <v/>
      </c>
      <c r="P49" s="11">
        <f>IF($A49="","",IF($H49="Paused",14,IF($I49&gt;0,6,0)))</f>
        <v/>
      </c>
      <c r="Q49" s="11">
        <f>IF($A49="","",IF($H49="Ended",30,0))</f>
        <v/>
      </c>
      <c r="R49" s="11">
        <f>IF($A49="","",MIN(15,$J49*8))</f>
        <v/>
      </c>
      <c r="S49" s="11">
        <f>IF($A49="","",IF(AND($B49&lt;&gt;"",$K49&lt;90,SUM($L49:$N49)&gt;0),ROUND(0.25*SUM($L49:$N49),0),0))</f>
        <v/>
      </c>
      <c r="T49" s="11">
        <f>IF($A49="","",MIN(100,SUM($L49:$S49)))</f>
        <v/>
      </c>
      <c r="U49" s="12">
        <f>IF($A49="","",IF($T49&lt;25,"Safe",IF($T49&lt;50,"Watch","At-risk")))</f>
        <v/>
      </c>
      <c r="V49" s="12">
        <f>IF($A49="","",IF($T49=0,"—",INDEX($L$1:$S$1,1,MATCH(MAX($L49:$S49),$L49:$S49,0))))</f>
        <v/>
      </c>
    </row>
    <row r="50">
      <c r="A50" s="13" t="n"/>
      <c r="B50" s="9" t="n"/>
      <c r="C50" s="9" t="n"/>
      <c r="D50" s="10" t="n"/>
      <c r="E50" s="10" t="n"/>
      <c r="F50" s="10" t="n"/>
      <c r="G50" s="10" t="n"/>
      <c r="H50" s="13" t="n"/>
      <c r="I50" s="10" t="n"/>
      <c r="J50" s="10" t="n"/>
      <c r="K50" s="11">
        <f>IF($A50="","",IF($B50="","",MAX(0,'Settings'!$B$3-$B50)))</f>
        <v/>
      </c>
      <c r="L50" s="11">
        <f>IF($A50="","",IF(OR($H50="Paused",AND($B50&lt;&gt;"",'Settings'!$B$3-$B50&lt;=14)),0,IF($E50/12&gt;=0.75,IF(1-($D50/4)/($E50/12)&gt;=0.3,ROUND(30*(1-($D50/4)/($E50/12)),0),0),0)))</f>
        <v/>
      </c>
      <c r="M50" s="11">
        <f>IF($A50="","",IF(OR($H50="Paused",AND($B50&lt;&gt;"",'Settings'!$B$3-$B50&lt;=14)),0,IF($C50="",12,IF(MAX(0,'Settings'!$B$3-$C50)&lt;=7,0,IF(MAX(0,'Settings'!$B$3-$C50)&lt;=14,6,IF(MAX(0,'Settings'!$B$3-$C50)&lt;=21,12,IF(MAX(0,'Settings'!$B$3-$C50)&lt;=35,18,20)))))))</f>
        <v/>
      </c>
      <c r="N50" s="11">
        <f>IF($A50="","",IF(AND($H50&lt;&gt;"Paused",OR($B50="",'Settings'!$B$3-$B50&gt;14),$L50=0,IF($F50&gt;=2,1-$D50/$F50&gt;=0.5,FALSE)),10,0))</f>
        <v/>
      </c>
      <c r="O50" s="11">
        <f>IF($A50="","",MIN(16,$G50*8))</f>
        <v/>
      </c>
      <c r="P50" s="11">
        <f>IF($A50="","",IF($H50="Paused",14,IF($I50&gt;0,6,0)))</f>
        <v/>
      </c>
      <c r="Q50" s="11">
        <f>IF($A50="","",IF($H50="Ended",30,0))</f>
        <v/>
      </c>
      <c r="R50" s="11">
        <f>IF($A50="","",MIN(15,$J50*8))</f>
        <v/>
      </c>
      <c r="S50" s="11">
        <f>IF($A50="","",IF(AND($B50&lt;&gt;"",$K50&lt;90,SUM($L50:$N50)&gt;0),ROUND(0.25*SUM($L50:$N50),0),0))</f>
        <v/>
      </c>
      <c r="T50" s="11">
        <f>IF($A50="","",MIN(100,SUM($L50:$S50)))</f>
        <v/>
      </c>
      <c r="U50" s="12">
        <f>IF($A50="","",IF($T50&lt;25,"Safe",IF($T50&lt;50,"Watch","At-risk")))</f>
        <v/>
      </c>
      <c r="V50" s="12">
        <f>IF($A50="","",IF($T50=0,"—",INDEX($L$1:$S$1,1,MATCH(MAX($L50:$S50),$L50:$S50,0))))</f>
        <v/>
      </c>
    </row>
    <row r="51">
      <c r="A51" s="13" t="n"/>
      <c r="B51" s="9" t="n"/>
      <c r="C51" s="9" t="n"/>
      <c r="D51" s="10" t="n"/>
      <c r="E51" s="10" t="n"/>
      <c r="F51" s="10" t="n"/>
      <c r="G51" s="10" t="n"/>
      <c r="H51" s="13" t="n"/>
      <c r="I51" s="10" t="n"/>
      <c r="J51" s="10" t="n"/>
      <c r="K51" s="11">
        <f>IF($A51="","",IF($B51="","",MAX(0,'Settings'!$B$3-$B51)))</f>
        <v/>
      </c>
      <c r="L51" s="11">
        <f>IF($A51="","",IF(OR($H51="Paused",AND($B51&lt;&gt;"",'Settings'!$B$3-$B51&lt;=14)),0,IF($E51/12&gt;=0.75,IF(1-($D51/4)/($E51/12)&gt;=0.3,ROUND(30*(1-($D51/4)/($E51/12)),0),0),0)))</f>
        <v/>
      </c>
      <c r="M51" s="11">
        <f>IF($A51="","",IF(OR($H51="Paused",AND($B51&lt;&gt;"",'Settings'!$B$3-$B51&lt;=14)),0,IF($C51="",12,IF(MAX(0,'Settings'!$B$3-$C51)&lt;=7,0,IF(MAX(0,'Settings'!$B$3-$C51)&lt;=14,6,IF(MAX(0,'Settings'!$B$3-$C51)&lt;=21,12,IF(MAX(0,'Settings'!$B$3-$C51)&lt;=35,18,20)))))))</f>
        <v/>
      </c>
      <c r="N51" s="11">
        <f>IF($A51="","",IF(AND($H51&lt;&gt;"Paused",OR($B51="",'Settings'!$B$3-$B51&gt;14),$L51=0,IF($F51&gt;=2,1-$D51/$F51&gt;=0.5,FALSE)),10,0))</f>
        <v/>
      </c>
      <c r="O51" s="11">
        <f>IF($A51="","",MIN(16,$G51*8))</f>
        <v/>
      </c>
      <c r="P51" s="11">
        <f>IF($A51="","",IF($H51="Paused",14,IF($I51&gt;0,6,0)))</f>
        <v/>
      </c>
      <c r="Q51" s="11">
        <f>IF($A51="","",IF($H51="Ended",30,0))</f>
        <v/>
      </c>
      <c r="R51" s="11">
        <f>IF($A51="","",MIN(15,$J51*8))</f>
        <v/>
      </c>
      <c r="S51" s="11">
        <f>IF($A51="","",IF(AND($B51&lt;&gt;"",$K51&lt;90,SUM($L51:$N51)&gt;0),ROUND(0.25*SUM($L51:$N51),0),0))</f>
        <v/>
      </c>
      <c r="T51" s="11">
        <f>IF($A51="","",MIN(100,SUM($L51:$S51)))</f>
        <v/>
      </c>
      <c r="U51" s="12">
        <f>IF($A51="","",IF($T51&lt;25,"Safe",IF($T51&lt;50,"Watch","At-risk")))</f>
        <v/>
      </c>
      <c r="V51" s="12">
        <f>IF($A51="","",IF($T51=0,"—",INDEX($L$1:$S$1,1,MATCH(MAX($L51:$S51),$L51:$S51,0))))</f>
        <v/>
      </c>
    </row>
    <row r="52">
      <c r="A52" s="13" t="n"/>
      <c r="B52" s="9" t="n"/>
      <c r="C52" s="9" t="n"/>
      <c r="D52" s="10" t="n"/>
      <c r="E52" s="10" t="n"/>
      <c r="F52" s="10" t="n"/>
      <c r="G52" s="10" t="n"/>
      <c r="H52" s="13" t="n"/>
      <c r="I52" s="10" t="n"/>
      <c r="J52" s="10" t="n"/>
      <c r="K52" s="11">
        <f>IF($A52="","",IF($B52="","",MAX(0,'Settings'!$B$3-$B52)))</f>
        <v/>
      </c>
      <c r="L52" s="11">
        <f>IF($A52="","",IF(OR($H52="Paused",AND($B52&lt;&gt;"",'Settings'!$B$3-$B52&lt;=14)),0,IF($E52/12&gt;=0.75,IF(1-($D52/4)/($E52/12)&gt;=0.3,ROUND(30*(1-($D52/4)/($E52/12)),0),0),0)))</f>
        <v/>
      </c>
      <c r="M52" s="11">
        <f>IF($A52="","",IF(OR($H52="Paused",AND($B52&lt;&gt;"",'Settings'!$B$3-$B52&lt;=14)),0,IF($C52="",12,IF(MAX(0,'Settings'!$B$3-$C52)&lt;=7,0,IF(MAX(0,'Settings'!$B$3-$C52)&lt;=14,6,IF(MAX(0,'Settings'!$B$3-$C52)&lt;=21,12,IF(MAX(0,'Settings'!$B$3-$C52)&lt;=35,18,20)))))))</f>
        <v/>
      </c>
      <c r="N52" s="11">
        <f>IF($A52="","",IF(AND($H52&lt;&gt;"Paused",OR($B52="",'Settings'!$B$3-$B52&gt;14),$L52=0,IF($F52&gt;=2,1-$D52/$F52&gt;=0.5,FALSE)),10,0))</f>
        <v/>
      </c>
      <c r="O52" s="11">
        <f>IF($A52="","",MIN(16,$G52*8))</f>
        <v/>
      </c>
      <c r="P52" s="11">
        <f>IF($A52="","",IF($H52="Paused",14,IF($I52&gt;0,6,0)))</f>
        <v/>
      </c>
      <c r="Q52" s="11">
        <f>IF($A52="","",IF($H52="Ended",30,0))</f>
        <v/>
      </c>
      <c r="R52" s="11">
        <f>IF($A52="","",MIN(15,$J52*8))</f>
        <v/>
      </c>
      <c r="S52" s="11">
        <f>IF($A52="","",IF(AND($B52&lt;&gt;"",$K52&lt;90,SUM($L52:$N52)&gt;0),ROUND(0.25*SUM($L52:$N52),0),0))</f>
        <v/>
      </c>
      <c r="T52" s="11">
        <f>IF($A52="","",MIN(100,SUM($L52:$S52)))</f>
        <v/>
      </c>
      <c r="U52" s="12">
        <f>IF($A52="","",IF($T52&lt;25,"Safe",IF($T52&lt;50,"Watch","At-risk")))</f>
        <v/>
      </c>
      <c r="V52" s="12">
        <f>IF($A52="","",IF($T52=0,"—",INDEX($L$1:$S$1,1,MATCH(MAX($L52:$S52),$L52:$S52,0))))</f>
        <v/>
      </c>
    </row>
    <row r="53">
      <c r="A53" s="13" t="n"/>
      <c r="B53" s="9" t="n"/>
      <c r="C53" s="9" t="n"/>
      <c r="D53" s="10" t="n"/>
      <c r="E53" s="10" t="n"/>
      <c r="F53" s="10" t="n"/>
      <c r="G53" s="10" t="n"/>
      <c r="H53" s="13" t="n"/>
      <c r="I53" s="10" t="n"/>
      <c r="J53" s="10" t="n"/>
      <c r="K53" s="11">
        <f>IF($A53="","",IF($B53="","",MAX(0,'Settings'!$B$3-$B53)))</f>
        <v/>
      </c>
      <c r="L53" s="11">
        <f>IF($A53="","",IF(OR($H53="Paused",AND($B53&lt;&gt;"",'Settings'!$B$3-$B53&lt;=14)),0,IF($E53/12&gt;=0.75,IF(1-($D53/4)/($E53/12)&gt;=0.3,ROUND(30*(1-($D53/4)/($E53/12)),0),0),0)))</f>
        <v/>
      </c>
      <c r="M53" s="11">
        <f>IF($A53="","",IF(OR($H53="Paused",AND($B53&lt;&gt;"",'Settings'!$B$3-$B53&lt;=14)),0,IF($C53="",12,IF(MAX(0,'Settings'!$B$3-$C53)&lt;=7,0,IF(MAX(0,'Settings'!$B$3-$C53)&lt;=14,6,IF(MAX(0,'Settings'!$B$3-$C53)&lt;=21,12,IF(MAX(0,'Settings'!$B$3-$C53)&lt;=35,18,20)))))))</f>
        <v/>
      </c>
      <c r="N53" s="11">
        <f>IF($A53="","",IF(AND($H53&lt;&gt;"Paused",OR($B53="",'Settings'!$B$3-$B53&gt;14),$L53=0,IF($F53&gt;=2,1-$D53/$F53&gt;=0.5,FALSE)),10,0))</f>
        <v/>
      </c>
      <c r="O53" s="11">
        <f>IF($A53="","",MIN(16,$G53*8))</f>
        <v/>
      </c>
      <c r="P53" s="11">
        <f>IF($A53="","",IF($H53="Paused",14,IF($I53&gt;0,6,0)))</f>
        <v/>
      </c>
      <c r="Q53" s="11">
        <f>IF($A53="","",IF($H53="Ended",30,0))</f>
        <v/>
      </c>
      <c r="R53" s="11">
        <f>IF($A53="","",MIN(15,$J53*8))</f>
        <v/>
      </c>
      <c r="S53" s="11">
        <f>IF($A53="","",IF(AND($B53&lt;&gt;"",$K53&lt;90,SUM($L53:$N53)&gt;0),ROUND(0.25*SUM($L53:$N53),0),0))</f>
        <v/>
      </c>
      <c r="T53" s="11">
        <f>IF($A53="","",MIN(100,SUM($L53:$S53)))</f>
        <v/>
      </c>
      <c r="U53" s="12">
        <f>IF($A53="","",IF($T53&lt;25,"Safe",IF($T53&lt;50,"Watch","At-risk")))</f>
        <v/>
      </c>
      <c r="V53" s="12">
        <f>IF($A53="","",IF($T53=0,"—",INDEX($L$1:$S$1,1,MATCH(MAX($L53:$S53),$L53:$S53,0))))</f>
        <v/>
      </c>
    </row>
    <row r="54">
      <c r="A54" s="13" t="n"/>
      <c r="B54" s="9" t="n"/>
      <c r="C54" s="9" t="n"/>
      <c r="D54" s="10" t="n"/>
      <c r="E54" s="10" t="n"/>
      <c r="F54" s="10" t="n"/>
      <c r="G54" s="10" t="n"/>
      <c r="H54" s="13" t="n"/>
      <c r="I54" s="10" t="n"/>
      <c r="J54" s="10" t="n"/>
      <c r="K54" s="11">
        <f>IF($A54="","",IF($B54="","",MAX(0,'Settings'!$B$3-$B54)))</f>
        <v/>
      </c>
      <c r="L54" s="11">
        <f>IF($A54="","",IF(OR($H54="Paused",AND($B54&lt;&gt;"",'Settings'!$B$3-$B54&lt;=14)),0,IF($E54/12&gt;=0.75,IF(1-($D54/4)/($E54/12)&gt;=0.3,ROUND(30*(1-($D54/4)/($E54/12)),0),0),0)))</f>
        <v/>
      </c>
      <c r="M54" s="11">
        <f>IF($A54="","",IF(OR($H54="Paused",AND($B54&lt;&gt;"",'Settings'!$B$3-$B54&lt;=14)),0,IF($C54="",12,IF(MAX(0,'Settings'!$B$3-$C54)&lt;=7,0,IF(MAX(0,'Settings'!$B$3-$C54)&lt;=14,6,IF(MAX(0,'Settings'!$B$3-$C54)&lt;=21,12,IF(MAX(0,'Settings'!$B$3-$C54)&lt;=35,18,20)))))))</f>
        <v/>
      </c>
      <c r="N54" s="11">
        <f>IF($A54="","",IF(AND($H54&lt;&gt;"Paused",OR($B54="",'Settings'!$B$3-$B54&gt;14),$L54=0,IF($F54&gt;=2,1-$D54/$F54&gt;=0.5,FALSE)),10,0))</f>
        <v/>
      </c>
      <c r="O54" s="11">
        <f>IF($A54="","",MIN(16,$G54*8))</f>
        <v/>
      </c>
      <c r="P54" s="11">
        <f>IF($A54="","",IF($H54="Paused",14,IF($I54&gt;0,6,0)))</f>
        <v/>
      </c>
      <c r="Q54" s="11">
        <f>IF($A54="","",IF($H54="Ended",30,0))</f>
        <v/>
      </c>
      <c r="R54" s="11">
        <f>IF($A54="","",MIN(15,$J54*8))</f>
        <v/>
      </c>
      <c r="S54" s="11">
        <f>IF($A54="","",IF(AND($B54&lt;&gt;"",$K54&lt;90,SUM($L54:$N54)&gt;0),ROUND(0.25*SUM($L54:$N54),0),0))</f>
        <v/>
      </c>
      <c r="T54" s="11">
        <f>IF($A54="","",MIN(100,SUM($L54:$S54)))</f>
        <v/>
      </c>
      <c r="U54" s="12">
        <f>IF($A54="","",IF($T54&lt;25,"Safe",IF($T54&lt;50,"Watch","At-risk")))</f>
        <v/>
      </c>
      <c r="V54" s="12">
        <f>IF($A54="","",IF($T54=0,"—",INDEX($L$1:$S$1,1,MATCH(MAX($L54:$S54),$L54:$S54,0))))</f>
        <v/>
      </c>
    </row>
    <row r="55">
      <c r="A55" s="13" t="n"/>
      <c r="B55" s="9" t="n"/>
      <c r="C55" s="9" t="n"/>
      <c r="D55" s="10" t="n"/>
      <c r="E55" s="10" t="n"/>
      <c r="F55" s="10" t="n"/>
      <c r="G55" s="10" t="n"/>
      <c r="H55" s="13" t="n"/>
      <c r="I55" s="10" t="n"/>
      <c r="J55" s="10" t="n"/>
      <c r="K55" s="11">
        <f>IF($A55="","",IF($B55="","",MAX(0,'Settings'!$B$3-$B55)))</f>
        <v/>
      </c>
      <c r="L55" s="11">
        <f>IF($A55="","",IF(OR($H55="Paused",AND($B55&lt;&gt;"",'Settings'!$B$3-$B55&lt;=14)),0,IF($E55/12&gt;=0.75,IF(1-($D55/4)/($E55/12)&gt;=0.3,ROUND(30*(1-($D55/4)/($E55/12)),0),0),0)))</f>
        <v/>
      </c>
      <c r="M55" s="11">
        <f>IF($A55="","",IF(OR($H55="Paused",AND($B55&lt;&gt;"",'Settings'!$B$3-$B55&lt;=14)),0,IF($C55="",12,IF(MAX(0,'Settings'!$B$3-$C55)&lt;=7,0,IF(MAX(0,'Settings'!$B$3-$C55)&lt;=14,6,IF(MAX(0,'Settings'!$B$3-$C55)&lt;=21,12,IF(MAX(0,'Settings'!$B$3-$C55)&lt;=35,18,20)))))))</f>
        <v/>
      </c>
      <c r="N55" s="11">
        <f>IF($A55="","",IF(AND($H55&lt;&gt;"Paused",OR($B55="",'Settings'!$B$3-$B55&gt;14),$L55=0,IF($F55&gt;=2,1-$D55/$F55&gt;=0.5,FALSE)),10,0))</f>
        <v/>
      </c>
      <c r="O55" s="11">
        <f>IF($A55="","",MIN(16,$G55*8))</f>
        <v/>
      </c>
      <c r="P55" s="11">
        <f>IF($A55="","",IF($H55="Paused",14,IF($I55&gt;0,6,0)))</f>
        <v/>
      </c>
      <c r="Q55" s="11">
        <f>IF($A55="","",IF($H55="Ended",30,0))</f>
        <v/>
      </c>
      <c r="R55" s="11">
        <f>IF($A55="","",MIN(15,$J55*8))</f>
        <v/>
      </c>
      <c r="S55" s="11">
        <f>IF($A55="","",IF(AND($B55&lt;&gt;"",$K55&lt;90,SUM($L55:$N55)&gt;0),ROUND(0.25*SUM($L55:$N55),0),0))</f>
        <v/>
      </c>
      <c r="T55" s="11">
        <f>IF($A55="","",MIN(100,SUM($L55:$S55)))</f>
        <v/>
      </c>
      <c r="U55" s="12">
        <f>IF($A55="","",IF($T55&lt;25,"Safe",IF($T55&lt;50,"Watch","At-risk")))</f>
        <v/>
      </c>
      <c r="V55" s="12">
        <f>IF($A55="","",IF($T55=0,"—",INDEX($L$1:$S$1,1,MATCH(MAX($L55:$S55),$L55:$S55,0))))</f>
        <v/>
      </c>
    </row>
    <row r="56">
      <c r="A56" s="13" t="n"/>
      <c r="B56" s="9" t="n"/>
      <c r="C56" s="9" t="n"/>
      <c r="D56" s="10" t="n"/>
      <c r="E56" s="10" t="n"/>
      <c r="F56" s="10" t="n"/>
      <c r="G56" s="10" t="n"/>
      <c r="H56" s="13" t="n"/>
      <c r="I56" s="10" t="n"/>
      <c r="J56" s="10" t="n"/>
      <c r="K56" s="11">
        <f>IF($A56="","",IF($B56="","",MAX(0,'Settings'!$B$3-$B56)))</f>
        <v/>
      </c>
      <c r="L56" s="11">
        <f>IF($A56="","",IF(OR($H56="Paused",AND($B56&lt;&gt;"",'Settings'!$B$3-$B56&lt;=14)),0,IF($E56/12&gt;=0.75,IF(1-($D56/4)/($E56/12)&gt;=0.3,ROUND(30*(1-($D56/4)/($E56/12)),0),0),0)))</f>
        <v/>
      </c>
      <c r="M56" s="11">
        <f>IF($A56="","",IF(OR($H56="Paused",AND($B56&lt;&gt;"",'Settings'!$B$3-$B56&lt;=14)),0,IF($C56="",12,IF(MAX(0,'Settings'!$B$3-$C56)&lt;=7,0,IF(MAX(0,'Settings'!$B$3-$C56)&lt;=14,6,IF(MAX(0,'Settings'!$B$3-$C56)&lt;=21,12,IF(MAX(0,'Settings'!$B$3-$C56)&lt;=35,18,20)))))))</f>
        <v/>
      </c>
      <c r="N56" s="11">
        <f>IF($A56="","",IF(AND($H56&lt;&gt;"Paused",OR($B56="",'Settings'!$B$3-$B56&gt;14),$L56=0,IF($F56&gt;=2,1-$D56/$F56&gt;=0.5,FALSE)),10,0))</f>
        <v/>
      </c>
      <c r="O56" s="11">
        <f>IF($A56="","",MIN(16,$G56*8))</f>
        <v/>
      </c>
      <c r="P56" s="11">
        <f>IF($A56="","",IF($H56="Paused",14,IF($I56&gt;0,6,0)))</f>
        <v/>
      </c>
      <c r="Q56" s="11">
        <f>IF($A56="","",IF($H56="Ended",30,0))</f>
        <v/>
      </c>
      <c r="R56" s="11">
        <f>IF($A56="","",MIN(15,$J56*8))</f>
        <v/>
      </c>
      <c r="S56" s="11">
        <f>IF($A56="","",IF(AND($B56&lt;&gt;"",$K56&lt;90,SUM($L56:$N56)&gt;0),ROUND(0.25*SUM($L56:$N56),0),0))</f>
        <v/>
      </c>
      <c r="T56" s="11">
        <f>IF($A56="","",MIN(100,SUM($L56:$S56)))</f>
        <v/>
      </c>
      <c r="U56" s="12">
        <f>IF($A56="","",IF($T56&lt;25,"Safe",IF($T56&lt;50,"Watch","At-risk")))</f>
        <v/>
      </c>
      <c r="V56" s="12">
        <f>IF($A56="","",IF($T56=0,"—",INDEX($L$1:$S$1,1,MATCH(MAX($L56:$S56),$L56:$S56,0))))</f>
        <v/>
      </c>
    </row>
    <row r="57">
      <c r="A57" s="13" t="n"/>
      <c r="B57" s="9" t="n"/>
      <c r="C57" s="9" t="n"/>
      <c r="D57" s="10" t="n"/>
      <c r="E57" s="10" t="n"/>
      <c r="F57" s="10" t="n"/>
      <c r="G57" s="10" t="n"/>
      <c r="H57" s="13" t="n"/>
      <c r="I57" s="10" t="n"/>
      <c r="J57" s="10" t="n"/>
      <c r="K57" s="11">
        <f>IF($A57="","",IF($B57="","",MAX(0,'Settings'!$B$3-$B57)))</f>
        <v/>
      </c>
      <c r="L57" s="11">
        <f>IF($A57="","",IF(OR($H57="Paused",AND($B57&lt;&gt;"",'Settings'!$B$3-$B57&lt;=14)),0,IF($E57/12&gt;=0.75,IF(1-($D57/4)/($E57/12)&gt;=0.3,ROUND(30*(1-($D57/4)/($E57/12)),0),0),0)))</f>
        <v/>
      </c>
      <c r="M57" s="11">
        <f>IF($A57="","",IF(OR($H57="Paused",AND($B57&lt;&gt;"",'Settings'!$B$3-$B57&lt;=14)),0,IF($C57="",12,IF(MAX(0,'Settings'!$B$3-$C57)&lt;=7,0,IF(MAX(0,'Settings'!$B$3-$C57)&lt;=14,6,IF(MAX(0,'Settings'!$B$3-$C57)&lt;=21,12,IF(MAX(0,'Settings'!$B$3-$C57)&lt;=35,18,20)))))))</f>
        <v/>
      </c>
      <c r="N57" s="11">
        <f>IF($A57="","",IF(AND($H57&lt;&gt;"Paused",OR($B57="",'Settings'!$B$3-$B57&gt;14),$L57=0,IF($F57&gt;=2,1-$D57/$F57&gt;=0.5,FALSE)),10,0))</f>
        <v/>
      </c>
      <c r="O57" s="11">
        <f>IF($A57="","",MIN(16,$G57*8))</f>
        <v/>
      </c>
      <c r="P57" s="11">
        <f>IF($A57="","",IF($H57="Paused",14,IF($I57&gt;0,6,0)))</f>
        <v/>
      </c>
      <c r="Q57" s="11">
        <f>IF($A57="","",IF($H57="Ended",30,0))</f>
        <v/>
      </c>
      <c r="R57" s="11">
        <f>IF($A57="","",MIN(15,$J57*8))</f>
        <v/>
      </c>
      <c r="S57" s="11">
        <f>IF($A57="","",IF(AND($B57&lt;&gt;"",$K57&lt;90,SUM($L57:$N57)&gt;0),ROUND(0.25*SUM($L57:$N57),0),0))</f>
        <v/>
      </c>
      <c r="T57" s="11">
        <f>IF($A57="","",MIN(100,SUM($L57:$S57)))</f>
        <v/>
      </c>
      <c r="U57" s="12">
        <f>IF($A57="","",IF($T57&lt;25,"Safe",IF($T57&lt;50,"Watch","At-risk")))</f>
        <v/>
      </c>
      <c r="V57" s="12">
        <f>IF($A57="","",IF($T57=0,"—",INDEX($L$1:$S$1,1,MATCH(MAX($L57:$S57),$L57:$S57,0))))</f>
        <v/>
      </c>
    </row>
    <row r="58">
      <c r="A58" s="13" t="n"/>
      <c r="B58" s="9" t="n"/>
      <c r="C58" s="9" t="n"/>
      <c r="D58" s="10" t="n"/>
      <c r="E58" s="10" t="n"/>
      <c r="F58" s="10" t="n"/>
      <c r="G58" s="10" t="n"/>
      <c r="H58" s="13" t="n"/>
      <c r="I58" s="10" t="n"/>
      <c r="J58" s="10" t="n"/>
      <c r="K58" s="11">
        <f>IF($A58="","",IF($B58="","",MAX(0,'Settings'!$B$3-$B58)))</f>
        <v/>
      </c>
      <c r="L58" s="11">
        <f>IF($A58="","",IF(OR($H58="Paused",AND($B58&lt;&gt;"",'Settings'!$B$3-$B58&lt;=14)),0,IF($E58/12&gt;=0.75,IF(1-($D58/4)/($E58/12)&gt;=0.3,ROUND(30*(1-($D58/4)/($E58/12)),0),0),0)))</f>
        <v/>
      </c>
      <c r="M58" s="11">
        <f>IF($A58="","",IF(OR($H58="Paused",AND($B58&lt;&gt;"",'Settings'!$B$3-$B58&lt;=14)),0,IF($C58="",12,IF(MAX(0,'Settings'!$B$3-$C58)&lt;=7,0,IF(MAX(0,'Settings'!$B$3-$C58)&lt;=14,6,IF(MAX(0,'Settings'!$B$3-$C58)&lt;=21,12,IF(MAX(0,'Settings'!$B$3-$C58)&lt;=35,18,20)))))))</f>
        <v/>
      </c>
      <c r="N58" s="11">
        <f>IF($A58="","",IF(AND($H58&lt;&gt;"Paused",OR($B58="",'Settings'!$B$3-$B58&gt;14),$L58=0,IF($F58&gt;=2,1-$D58/$F58&gt;=0.5,FALSE)),10,0))</f>
        <v/>
      </c>
      <c r="O58" s="11">
        <f>IF($A58="","",MIN(16,$G58*8))</f>
        <v/>
      </c>
      <c r="P58" s="11">
        <f>IF($A58="","",IF($H58="Paused",14,IF($I58&gt;0,6,0)))</f>
        <v/>
      </c>
      <c r="Q58" s="11">
        <f>IF($A58="","",IF($H58="Ended",30,0))</f>
        <v/>
      </c>
      <c r="R58" s="11">
        <f>IF($A58="","",MIN(15,$J58*8))</f>
        <v/>
      </c>
      <c r="S58" s="11">
        <f>IF($A58="","",IF(AND($B58&lt;&gt;"",$K58&lt;90,SUM($L58:$N58)&gt;0),ROUND(0.25*SUM($L58:$N58),0),0))</f>
        <v/>
      </c>
      <c r="T58" s="11">
        <f>IF($A58="","",MIN(100,SUM($L58:$S58)))</f>
        <v/>
      </c>
      <c r="U58" s="12">
        <f>IF($A58="","",IF($T58&lt;25,"Safe",IF($T58&lt;50,"Watch","At-risk")))</f>
        <v/>
      </c>
      <c r="V58" s="12">
        <f>IF($A58="","",IF($T58=0,"—",INDEX($L$1:$S$1,1,MATCH(MAX($L58:$S58),$L58:$S58,0))))</f>
        <v/>
      </c>
    </row>
    <row r="59">
      <c r="A59" s="13" t="n"/>
      <c r="B59" s="9" t="n"/>
      <c r="C59" s="9" t="n"/>
      <c r="D59" s="10" t="n"/>
      <c r="E59" s="10" t="n"/>
      <c r="F59" s="10" t="n"/>
      <c r="G59" s="10" t="n"/>
      <c r="H59" s="13" t="n"/>
      <c r="I59" s="10" t="n"/>
      <c r="J59" s="10" t="n"/>
      <c r="K59" s="11">
        <f>IF($A59="","",IF($B59="","",MAX(0,'Settings'!$B$3-$B59)))</f>
        <v/>
      </c>
      <c r="L59" s="11">
        <f>IF($A59="","",IF(OR($H59="Paused",AND($B59&lt;&gt;"",'Settings'!$B$3-$B59&lt;=14)),0,IF($E59/12&gt;=0.75,IF(1-($D59/4)/($E59/12)&gt;=0.3,ROUND(30*(1-($D59/4)/($E59/12)),0),0),0)))</f>
        <v/>
      </c>
      <c r="M59" s="11">
        <f>IF($A59="","",IF(OR($H59="Paused",AND($B59&lt;&gt;"",'Settings'!$B$3-$B59&lt;=14)),0,IF($C59="",12,IF(MAX(0,'Settings'!$B$3-$C59)&lt;=7,0,IF(MAX(0,'Settings'!$B$3-$C59)&lt;=14,6,IF(MAX(0,'Settings'!$B$3-$C59)&lt;=21,12,IF(MAX(0,'Settings'!$B$3-$C59)&lt;=35,18,20)))))))</f>
        <v/>
      </c>
      <c r="N59" s="11">
        <f>IF($A59="","",IF(AND($H59&lt;&gt;"Paused",OR($B59="",'Settings'!$B$3-$B59&gt;14),$L59=0,IF($F59&gt;=2,1-$D59/$F59&gt;=0.5,FALSE)),10,0))</f>
        <v/>
      </c>
      <c r="O59" s="11">
        <f>IF($A59="","",MIN(16,$G59*8))</f>
        <v/>
      </c>
      <c r="P59" s="11">
        <f>IF($A59="","",IF($H59="Paused",14,IF($I59&gt;0,6,0)))</f>
        <v/>
      </c>
      <c r="Q59" s="11">
        <f>IF($A59="","",IF($H59="Ended",30,0))</f>
        <v/>
      </c>
      <c r="R59" s="11">
        <f>IF($A59="","",MIN(15,$J59*8))</f>
        <v/>
      </c>
      <c r="S59" s="11">
        <f>IF($A59="","",IF(AND($B59&lt;&gt;"",$K59&lt;90,SUM($L59:$N59)&gt;0),ROUND(0.25*SUM($L59:$N59),0),0))</f>
        <v/>
      </c>
      <c r="T59" s="11">
        <f>IF($A59="","",MIN(100,SUM($L59:$S59)))</f>
        <v/>
      </c>
      <c r="U59" s="12">
        <f>IF($A59="","",IF($T59&lt;25,"Safe",IF($T59&lt;50,"Watch","At-risk")))</f>
        <v/>
      </c>
      <c r="V59" s="12">
        <f>IF($A59="","",IF($T59=0,"—",INDEX($L$1:$S$1,1,MATCH(MAX($L59:$S59),$L59:$S59,0))))</f>
        <v/>
      </c>
    </row>
    <row r="60">
      <c r="A60" s="13" t="n"/>
      <c r="B60" s="9" t="n"/>
      <c r="C60" s="9" t="n"/>
      <c r="D60" s="10" t="n"/>
      <c r="E60" s="10" t="n"/>
      <c r="F60" s="10" t="n"/>
      <c r="G60" s="10" t="n"/>
      <c r="H60" s="13" t="n"/>
      <c r="I60" s="10" t="n"/>
      <c r="J60" s="10" t="n"/>
      <c r="K60" s="11">
        <f>IF($A60="","",IF($B60="","",MAX(0,'Settings'!$B$3-$B60)))</f>
        <v/>
      </c>
      <c r="L60" s="11">
        <f>IF($A60="","",IF(OR($H60="Paused",AND($B60&lt;&gt;"",'Settings'!$B$3-$B60&lt;=14)),0,IF($E60/12&gt;=0.75,IF(1-($D60/4)/($E60/12)&gt;=0.3,ROUND(30*(1-($D60/4)/($E60/12)),0),0),0)))</f>
        <v/>
      </c>
      <c r="M60" s="11">
        <f>IF($A60="","",IF(OR($H60="Paused",AND($B60&lt;&gt;"",'Settings'!$B$3-$B60&lt;=14)),0,IF($C60="",12,IF(MAX(0,'Settings'!$B$3-$C60)&lt;=7,0,IF(MAX(0,'Settings'!$B$3-$C60)&lt;=14,6,IF(MAX(0,'Settings'!$B$3-$C60)&lt;=21,12,IF(MAX(0,'Settings'!$B$3-$C60)&lt;=35,18,20)))))))</f>
        <v/>
      </c>
      <c r="N60" s="11">
        <f>IF($A60="","",IF(AND($H60&lt;&gt;"Paused",OR($B60="",'Settings'!$B$3-$B60&gt;14),$L60=0,IF($F60&gt;=2,1-$D60/$F60&gt;=0.5,FALSE)),10,0))</f>
        <v/>
      </c>
      <c r="O60" s="11">
        <f>IF($A60="","",MIN(16,$G60*8))</f>
        <v/>
      </c>
      <c r="P60" s="11">
        <f>IF($A60="","",IF($H60="Paused",14,IF($I60&gt;0,6,0)))</f>
        <v/>
      </c>
      <c r="Q60" s="11">
        <f>IF($A60="","",IF($H60="Ended",30,0))</f>
        <v/>
      </c>
      <c r="R60" s="11">
        <f>IF($A60="","",MIN(15,$J60*8))</f>
        <v/>
      </c>
      <c r="S60" s="11">
        <f>IF($A60="","",IF(AND($B60&lt;&gt;"",$K60&lt;90,SUM($L60:$N60)&gt;0),ROUND(0.25*SUM($L60:$N60),0),0))</f>
        <v/>
      </c>
      <c r="T60" s="11">
        <f>IF($A60="","",MIN(100,SUM($L60:$S60)))</f>
        <v/>
      </c>
      <c r="U60" s="12">
        <f>IF($A60="","",IF($T60&lt;25,"Safe",IF($T60&lt;50,"Watch","At-risk")))</f>
        <v/>
      </c>
      <c r="V60" s="12">
        <f>IF($A60="","",IF($T60=0,"—",INDEX($L$1:$S$1,1,MATCH(MAX($L60:$S60),$L60:$S60,0))))</f>
        <v/>
      </c>
    </row>
    <row r="61">
      <c r="A61" s="13" t="n"/>
      <c r="B61" s="9" t="n"/>
      <c r="C61" s="9" t="n"/>
      <c r="D61" s="10" t="n"/>
      <c r="E61" s="10" t="n"/>
      <c r="F61" s="10" t="n"/>
      <c r="G61" s="10" t="n"/>
      <c r="H61" s="13" t="n"/>
      <c r="I61" s="10" t="n"/>
      <c r="J61" s="10" t="n"/>
      <c r="K61" s="11">
        <f>IF($A61="","",IF($B61="","",MAX(0,'Settings'!$B$3-$B61)))</f>
        <v/>
      </c>
      <c r="L61" s="11">
        <f>IF($A61="","",IF(OR($H61="Paused",AND($B61&lt;&gt;"",'Settings'!$B$3-$B61&lt;=14)),0,IF($E61/12&gt;=0.75,IF(1-($D61/4)/($E61/12)&gt;=0.3,ROUND(30*(1-($D61/4)/($E61/12)),0),0),0)))</f>
        <v/>
      </c>
      <c r="M61" s="11">
        <f>IF($A61="","",IF(OR($H61="Paused",AND($B61&lt;&gt;"",'Settings'!$B$3-$B61&lt;=14)),0,IF($C61="",12,IF(MAX(0,'Settings'!$B$3-$C61)&lt;=7,0,IF(MAX(0,'Settings'!$B$3-$C61)&lt;=14,6,IF(MAX(0,'Settings'!$B$3-$C61)&lt;=21,12,IF(MAX(0,'Settings'!$B$3-$C61)&lt;=35,18,20)))))))</f>
        <v/>
      </c>
      <c r="N61" s="11">
        <f>IF($A61="","",IF(AND($H61&lt;&gt;"Paused",OR($B61="",'Settings'!$B$3-$B61&gt;14),$L61=0,IF($F61&gt;=2,1-$D61/$F61&gt;=0.5,FALSE)),10,0))</f>
        <v/>
      </c>
      <c r="O61" s="11">
        <f>IF($A61="","",MIN(16,$G61*8))</f>
        <v/>
      </c>
      <c r="P61" s="11">
        <f>IF($A61="","",IF($H61="Paused",14,IF($I61&gt;0,6,0)))</f>
        <v/>
      </c>
      <c r="Q61" s="11">
        <f>IF($A61="","",IF($H61="Ended",30,0))</f>
        <v/>
      </c>
      <c r="R61" s="11">
        <f>IF($A61="","",MIN(15,$J61*8))</f>
        <v/>
      </c>
      <c r="S61" s="11">
        <f>IF($A61="","",IF(AND($B61&lt;&gt;"",$K61&lt;90,SUM($L61:$N61)&gt;0),ROUND(0.25*SUM($L61:$N61),0),0))</f>
        <v/>
      </c>
      <c r="T61" s="11">
        <f>IF($A61="","",MIN(100,SUM($L61:$S61)))</f>
        <v/>
      </c>
      <c r="U61" s="12">
        <f>IF($A61="","",IF($T61&lt;25,"Safe",IF($T61&lt;50,"Watch","At-risk")))</f>
        <v/>
      </c>
      <c r="V61" s="12">
        <f>IF($A61="","",IF($T61=0,"—",INDEX($L$1:$S$1,1,MATCH(MAX($L61:$S61),$L61:$S61,0))))</f>
        <v/>
      </c>
    </row>
    <row r="62">
      <c r="A62" s="13" t="n"/>
      <c r="B62" s="9" t="n"/>
      <c r="C62" s="9" t="n"/>
      <c r="D62" s="10" t="n"/>
      <c r="E62" s="10" t="n"/>
      <c r="F62" s="10" t="n"/>
      <c r="G62" s="10" t="n"/>
      <c r="H62" s="13" t="n"/>
      <c r="I62" s="10" t="n"/>
      <c r="J62" s="10" t="n"/>
      <c r="K62" s="11">
        <f>IF($A62="","",IF($B62="","",MAX(0,'Settings'!$B$3-$B62)))</f>
        <v/>
      </c>
      <c r="L62" s="11">
        <f>IF($A62="","",IF(OR($H62="Paused",AND($B62&lt;&gt;"",'Settings'!$B$3-$B62&lt;=14)),0,IF($E62/12&gt;=0.75,IF(1-($D62/4)/($E62/12)&gt;=0.3,ROUND(30*(1-($D62/4)/($E62/12)),0),0),0)))</f>
        <v/>
      </c>
      <c r="M62" s="11">
        <f>IF($A62="","",IF(OR($H62="Paused",AND($B62&lt;&gt;"",'Settings'!$B$3-$B62&lt;=14)),0,IF($C62="",12,IF(MAX(0,'Settings'!$B$3-$C62)&lt;=7,0,IF(MAX(0,'Settings'!$B$3-$C62)&lt;=14,6,IF(MAX(0,'Settings'!$B$3-$C62)&lt;=21,12,IF(MAX(0,'Settings'!$B$3-$C62)&lt;=35,18,20)))))))</f>
        <v/>
      </c>
      <c r="N62" s="11">
        <f>IF($A62="","",IF(AND($H62&lt;&gt;"Paused",OR($B62="",'Settings'!$B$3-$B62&gt;14),$L62=0,IF($F62&gt;=2,1-$D62/$F62&gt;=0.5,FALSE)),10,0))</f>
        <v/>
      </c>
      <c r="O62" s="11">
        <f>IF($A62="","",MIN(16,$G62*8))</f>
        <v/>
      </c>
      <c r="P62" s="11">
        <f>IF($A62="","",IF($H62="Paused",14,IF($I62&gt;0,6,0)))</f>
        <v/>
      </c>
      <c r="Q62" s="11">
        <f>IF($A62="","",IF($H62="Ended",30,0))</f>
        <v/>
      </c>
      <c r="R62" s="11">
        <f>IF($A62="","",MIN(15,$J62*8))</f>
        <v/>
      </c>
      <c r="S62" s="11">
        <f>IF($A62="","",IF(AND($B62&lt;&gt;"",$K62&lt;90,SUM($L62:$N62)&gt;0),ROUND(0.25*SUM($L62:$N62),0),0))</f>
        <v/>
      </c>
      <c r="T62" s="11">
        <f>IF($A62="","",MIN(100,SUM($L62:$S62)))</f>
        <v/>
      </c>
      <c r="U62" s="12">
        <f>IF($A62="","",IF($T62&lt;25,"Safe",IF($T62&lt;50,"Watch","At-risk")))</f>
        <v/>
      </c>
      <c r="V62" s="12">
        <f>IF($A62="","",IF($T62=0,"—",INDEX($L$1:$S$1,1,MATCH(MAX($L62:$S62),$L62:$S62,0))))</f>
        <v/>
      </c>
    </row>
    <row r="63">
      <c r="A63" s="13" t="n"/>
      <c r="B63" s="9" t="n"/>
      <c r="C63" s="9" t="n"/>
      <c r="D63" s="10" t="n"/>
      <c r="E63" s="10" t="n"/>
      <c r="F63" s="10" t="n"/>
      <c r="G63" s="10" t="n"/>
      <c r="H63" s="13" t="n"/>
      <c r="I63" s="10" t="n"/>
      <c r="J63" s="10" t="n"/>
      <c r="K63" s="11">
        <f>IF($A63="","",IF($B63="","",MAX(0,'Settings'!$B$3-$B63)))</f>
        <v/>
      </c>
      <c r="L63" s="11">
        <f>IF($A63="","",IF(OR($H63="Paused",AND($B63&lt;&gt;"",'Settings'!$B$3-$B63&lt;=14)),0,IF($E63/12&gt;=0.75,IF(1-($D63/4)/($E63/12)&gt;=0.3,ROUND(30*(1-($D63/4)/($E63/12)),0),0),0)))</f>
        <v/>
      </c>
      <c r="M63" s="11">
        <f>IF($A63="","",IF(OR($H63="Paused",AND($B63&lt;&gt;"",'Settings'!$B$3-$B63&lt;=14)),0,IF($C63="",12,IF(MAX(0,'Settings'!$B$3-$C63)&lt;=7,0,IF(MAX(0,'Settings'!$B$3-$C63)&lt;=14,6,IF(MAX(0,'Settings'!$B$3-$C63)&lt;=21,12,IF(MAX(0,'Settings'!$B$3-$C63)&lt;=35,18,20)))))))</f>
        <v/>
      </c>
      <c r="N63" s="11">
        <f>IF($A63="","",IF(AND($H63&lt;&gt;"Paused",OR($B63="",'Settings'!$B$3-$B63&gt;14),$L63=0,IF($F63&gt;=2,1-$D63/$F63&gt;=0.5,FALSE)),10,0))</f>
        <v/>
      </c>
      <c r="O63" s="11">
        <f>IF($A63="","",MIN(16,$G63*8))</f>
        <v/>
      </c>
      <c r="P63" s="11">
        <f>IF($A63="","",IF($H63="Paused",14,IF($I63&gt;0,6,0)))</f>
        <v/>
      </c>
      <c r="Q63" s="11">
        <f>IF($A63="","",IF($H63="Ended",30,0))</f>
        <v/>
      </c>
      <c r="R63" s="11">
        <f>IF($A63="","",MIN(15,$J63*8))</f>
        <v/>
      </c>
      <c r="S63" s="11">
        <f>IF($A63="","",IF(AND($B63&lt;&gt;"",$K63&lt;90,SUM($L63:$N63)&gt;0),ROUND(0.25*SUM($L63:$N63),0),0))</f>
        <v/>
      </c>
      <c r="T63" s="11">
        <f>IF($A63="","",MIN(100,SUM($L63:$S63)))</f>
        <v/>
      </c>
      <c r="U63" s="12">
        <f>IF($A63="","",IF($T63&lt;25,"Safe",IF($T63&lt;50,"Watch","At-risk")))</f>
        <v/>
      </c>
      <c r="V63" s="12">
        <f>IF($A63="","",IF($T63=0,"—",INDEX($L$1:$S$1,1,MATCH(MAX($L63:$S63),$L63:$S63,0))))</f>
        <v/>
      </c>
    </row>
    <row r="64">
      <c r="A64" s="13" t="n"/>
      <c r="B64" s="9" t="n"/>
      <c r="C64" s="9" t="n"/>
      <c r="D64" s="10" t="n"/>
      <c r="E64" s="10" t="n"/>
      <c r="F64" s="10" t="n"/>
      <c r="G64" s="10" t="n"/>
      <c r="H64" s="13" t="n"/>
      <c r="I64" s="10" t="n"/>
      <c r="J64" s="10" t="n"/>
      <c r="K64" s="11">
        <f>IF($A64="","",IF($B64="","",MAX(0,'Settings'!$B$3-$B64)))</f>
        <v/>
      </c>
      <c r="L64" s="11">
        <f>IF($A64="","",IF(OR($H64="Paused",AND($B64&lt;&gt;"",'Settings'!$B$3-$B64&lt;=14)),0,IF($E64/12&gt;=0.75,IF(1-($D64/4)/($E64/12)&gt;=0.3,ROUND(30*(1-($D64/4)/($E64/12)),0),0),0)))</f>
        <v/>
      </c>
      <c r="M64" s="11">
        <f>IF($A64="","",IF(OR($H64="Paused",AND($B64&lt;&gt;"",'Settings'!$B$3-$B64&lt;=14)),0,IF($C64="",12,IF(MAX(0,'Settings'!$B$3-$C64)&lt;=7,0,IF(MAX(0,'Settings'!$B$3-$C64)&lt;=14,6,IF(MAX(0,'Settings'!$B$3-$C64)&lt;=21,12,IF(MAX(0,'Settings'!$B$3-$C64)&lt;=35,18,20)))))))</f>
        <v/>
      </c>
      <c r="N64" s="11">
        <f>IF($A64="","",IF(AND($H64&lt;&gt;"Paused",OR($B64="",'Settings'!$B$3-$B64&gt;14),$L64=0,IF($F64&gt;=2,1-$D64/$F64&gt;=0.5,FALSE)),10,0))</f>
        <v/>
      </c>
      <c r="O64" s="11">
        <f>IF($A64="","",MIN(16,$G64*8))</f>
        <v/>
      </c>
      <c r="P64" s="11">
        <f>IF($A64="","",IF($H64="Paused",14,IF($I64&gt;0,6,0)))</f>
        <v/>
      </c>
      <c r="Q64" s="11">
        <f>IF($A64="","",IF($H64="Ended",30,0))</f>
        <v/>
      </c>
      <c r="R64" s="11">
        <f>IF($A64="","",MIN(15,$J64*8))</f>
        <v/>
      </c>
      <c r="S64" s="11">
        <f>IF($A64="","",IF(AND($B64&lt;&gt;"",$K64&lt;90,SUM($L64:$N64)&gt;0),ROUND(0.25*SUM($L64:$N64),0),0))</f>
        <v/>
      </c>
      <c r="T64" s="11">
        <f>IF($A64="","",MIN(100,SUM($L64:$S64)))</f>
        <v/>
      </c>
      <c r="U64" s="12">
        <f>IF($A64="","",IF($T64&lt;25,"Safe",IF($T64&lt;50,"Watch","At-risk")))</f>
        <v/>
      </c>
      <c r="V64" s="12">
        <f>IF($A64="","",IF($T64=0,"—",INDEX($L$1:$S$1,1,MATCH(MAX($L64:$S64),$L64:$S64,0))))</f>
        <v/>
      </c>
    </row>
    <row r="65">
      <c r="A65" s="13" t="n"/>
      <c r="B65" s="9" t="n"/>
      <c r="C65" s="9" t="n"/>
      <c r="D65" s="10" t="n"/>
      <c r="E65" s="10" t="n"/>
      <c r="F65" s="10" t="n"/>
      <c r="G65" s="10" t="n"/>
      <c r="H65" s="13" t="n"/>
      <c r="I65" s="10" t="n"/>
      <c r="J65" s="10" t="n"/>
      <c r="K65" s="11">
        <f>IF($A65="","",IF($B65="","",MAX(0,'Settings'!$B$3-$B65)))</f>
        <v/>
      </c>
      <c r="L65" s="11">
        <f>IF($A65="","",IF(OR($H65="Paused",AND($B65&lt;&gt;"",'Settings'!$B$3-$B65&lt;=14)),0,IF($E65/12&gt;=0.75,IF(1-($D65/4)/($E65/12)&gt;=0.3,ROUND(30*(1-($D65/4)/($E65/12)),0),0),0)))</f>
        <v/>
      </c>
      <c r="M65" s="11">
        <f>IF($A65="","",IF(OR($H65="Paused",AND($B65&lt;&gt;"",'Settings'!$B$3-$B65&lt;=14)),0,IF($C65="",12,IF(MAX(0,'Settings'!$B$3-$C65)&lt;=7,0,IF(MAX(0,'Settings'!$B$3-$C65)&lt;=14,6,IF(MAX(0,'Settings'!$B$3-$C65)&lt;=21,12,IF(MAX(0,'Settings'!$B$3-$C65)&lt;=35,18,20)))))))</f>
        <v/>
      </c>
      <c r="N65" s="11">
        <f>IF($A65="","",IF(AND($H65&lt;&gt;"Paused",OR($B65="",'Settings'!$B$3-$B65&gt;14),$L65=0,IF($F65&gt;=2,1-$D65/$F65&gt;=0.5,FALSE)),10,0))</f>
        <v/>
      </c>
      <c r="O65" s="11">
        <f>IF($A65="","",MIN(16,$G65*8))</f>
        <v/>
      </c>
      <c r="P65" s="11">
        <f>IF($A65="","",IF($H65="Paused",14,IF($I65&gt;0,6,0)))</f>
        <v/>
      </c>
      <c r="Q65" s="11">
        <f>IF($A65="","",IF($H65="Ended",30,0))</f>
        <v/>
      </c>
      <c r="R65" s="11">
        <f>IF($A65="","",MIN(15,$J65*8))</f>
        <v/>
      </c>
      <c r="S65" s="11">
        <f>IF($A65="","",IF(AND($B65&lt;&gt;"",$K65&lt;90,SUM($L65:$N65)&gt;0),ROUND(0.25*SUM($L65:$N65),0),0))</f>
        <v/>
      </c>
      <c r="T65" s="11">
        <f>IF($A65="","",MIN(100,SUM($L65:$S65)))</f>
        <v/>
      </c>
      <c r="U65" s="12">
        <f>IF($A65="","",IF($T65&lt;25,"Safe",IF($T65&lt;50,"Watch","At-risk")))</f>
        <v/>
      </c>
      <c r="V65" s="12">
        <f>IF($A65="","",IF($T65=0,"—",INDEX($L$1:$S$1,1,MATCH(MAX($L65:$S65),$L65:$S65,0))))</f>
        <v/>
      </c>
    </row>
    <row r="66">
      <c r="A66" s="13" t="n"/>
      <c r="B66" s="9" t="n"/>
      <c r="C66" s="9" t="n"/>
      <c r="D66" s="10" t="n"/>
      <c r="E66" s="10" t="n"/>
      <c r="F66" s="10" t="n"/>
      <c r="G66" s="10" t="n"/>
      <c r="H66" s="13" t="n"/>
      <c r="I66" s="10" t="n"/>
      <c r="J66" s="10" t="n"/>
      <c r="K66" s="11">
        <f>IF($A66="","",IF($B66="","",MAX(0,'Settings'!$B$3-$B66)))</f>
        <v/>
      </c>
      <c r="L66" s="11">
        <f>IF($A66="","",IF(OR($H66="Paused",AND($B66&lt;&gt;"",'Settings'!$B$3-$B66&lt;=14)),0,IF($E66/12&gt;=0.75,IF(1-($D66/4)/($E66/12)&gt;=0.3,ROUND(30*(1-($D66/4)/($E66/12)),0),0),0)))</f>
        <v/>
      </c>
      <c r="M66" s="11">
        <f>IF($A66="","",IF(OR($H66="Paused",AND($B66&lt;&gt;"",'Settings'!$B$3-$B66&lt;=14)),0,IF($C66="",12,IF(MAX(0,'Settings'!$B$3-$C66)&lt;=7,0,IF(MAX(0,'Settings'!$B$3-$C66)&lt;=14,6,IF(MAX(0,'Settings'!$B$3-$C66)&lt;=21,12,IF(MAX(0,'Settings'!$B$3-$C66)&lt;=35,18,20)))))))</f>
        <v/>
      </c>
      <c r="N66" s="11">
        <f>IF($A66="","",IF(AND($H66&lt;&gt;"Paused",OR($B66="",'Settings'!$B$3-$B66&gt;14),$L66=0,IF($F66&gt;=2,1-$D66/$F66&gt;=0.5,FALSE)),10,0))</f>
        <v/>
      </c>
      <c r="O66" s="11">
        <f>IF($A66="","",MIN(16,$G66*8))</f>
        <v/>
      </c>
      <c r="P66" s="11">
        <f>IF($A66="","",IF($H66="Paused",14,IF($I66&gt;0,6,0)))</f>
        <v/>
      </c>
      <c r="Q66" s="11">
        <f>IF($A66="","",IF($H66="Ended",30,0))</f>
        <v/>
      </c>
      <c r="R66" s="11">
        <f>IF($A66="","",MIN(15,$J66*8))</f>
        <v/>
      </c>
      <c r="S66" s="11">
        <f>IF($A66="","",IF(AND($B66&lt;&gt;"",$K66&lt;90,SUM($L66:$N66)&gt;0),ROUND(0.25*SUM($L66:$N66),0),0))</f>
        <v/>
      </c>
      <c r="T66" s="11">
        <f>IF($A66="","",MIN(100,SUM($L66:$S66)))</f>
        <v/>
      </c>
      <c r="U66" s="12">
        <f>IF($A66="","",IF($T66&lt;25,"Safe",IF($T66&lt;50,"Watch","At-risk")))</f>
        <v/>
      </c>
      <c r="V66" s="12">
        <f>IF($A66="","",IF($T66=0,"—",INDEX($L$1:$S$1,1,MATCH(MAX($L66:$S66),$L66:$S66,0))))</f>
        <v/>
      </c>
    </row>
    <row r="67">
      <c r="A67" s="13" t="n"/>
      <c r="B67" s="9" t="n"/>
      <c r="C67" s="9" t="n"/>
      <c r="D67" s="10" t="n"/>
      <c r="E67" s="10" t="n"/>
      <c r="F67" s="10" t="n"/>
      <c r="G67" s="10" t="n"/>
      <c r="H67" s="13" t="n"/>
      <c r="I67" s="10" t="n"/>
      <c r="J67" s="10" t="n"/>
      <c r="K67" s="11">
        <f>IF($A67="","",IF($B67="","",MAX(0,'Settings'!$B$3-$B67)))</f>
        <v/>
      </c>
      <c r="L67" s="11">
        <f>IF($A67="","",IF(OR($H67="Paused",AND($B67&lt;&gt;"",'Settings'!$B$3-$B67&lt;=14)),0,IF($E67/12&gt;=0.75,IF(1-($D67/4)/($E67/12)&gt;=0.3,ROUND(30*(1-($D67/4)/($E67/12)),0),0),0)))</f>
        <v/>
      </c>
      <c r="M67" s="11">
        <f>IF($A67="","",IF(OR($H67="Paused",AND($B67&lt;&gt;"",'Settings'!$B$3-$B67&lt;=14)),0,IF($C67="",12,IF(MAX(0,'Settings'!$B$3-$C67)&lt;=7,0,IF(MAX(0,'Settings'!$B$3-$C67)&lt;=14,6,IF(MAX(0,'Settings'!$B$3-$C67)&lt;=21,12,IF(MAX(0,'Settings'!$B$3-$C67)&lt;=35,18,20)))))))</f>
        <v/>
      </c>
      <c r="N67" s="11">
        <f>IF($A67="","",IF(AND($H67&lt;&gt;"Paused",OR($B67="",'Settings'!$B$3-$B67&gt;14),$L67=0,IF($F67&gt;=2,1-$D67/$F67&gt;=0.5,FALSE)),10,0))</f>
        <v/>
      </c>
      <c r="O67" s="11">
        <f>IF($A67="","",MIN(16,$G67*8))</f>
        <v/>
      </c>
      <c r="P67" s="11">
        <f>IF($A67="","",IF($H67="Paused",14,IF($I67&gt;0,6,0)))</f>
        <v/>
      </c>
      <c r="Q67" s="11">
        <f>IF($A67="","",IF($H67="Ended",30,0))</f>
        <v/>
      </c>
      <c r="R67" s="11">
        <f>IF($A67="","",MIN(15,$J67*8))</f>
        <v/>
      </c>
      <c r="S67" s="11">
        <f>IF($A67="","",IF(AND($B67&lt;&gt;"",$K67&lt;90,SUM($L67:$N67)&gt;0),ROUND(0.25*SUM($L67:$N67),0),0))</f>
        <v/>
      </c>
      <c r="T67" s="11">
        <f>IF($A67="","",MIN(100,SUM($L67:$S67)))</f>
        <v/>
      </c>
      <c r="U67" s="12">
        <f>IF($A67="","",IF($T67&lt;25,"Safe",IF($T67&lt;50,"Watch","At-risk")))</f>
        <v/>
      </c>
      <c r="V67" s="12">
        <f>IF($A67="","",IF($T67=0,"—",INDEX($L$1:$S$1,1,MATCH(MAX($L67:$S67),$L67:$S67,0))))</f>
        <v/>
      </c>
    </row>
    <row r="68">
      <c r="A68" s="13" t="n"/>
      <c r="B68" s="9" t="n"/>
      <c r="C68" s="9" t="n"/>
      <c r="D68" s="10" t="n"/>
      <c r="E68" s="10" t="n"/>
      <c r="F68" s="10" t="n"/>
      <c r="G68" s="10" t="n"/>
      <c r="H68" s="13" t="n"/>
      <c r="I68" s="10" t="n"/>
      <c r="J68" s="10" t="n"/>
      <c r="K68" s="11">
        <f>IF($A68="","",IF($B68="","",MAX(0,'Settings'!$B$3-$B68)))</f>
        <v/>
      </c>
      <c r="L68" s="11">
        <f>IF($A68="","",IF(OR($H68="Paused",AND($B68&lt;&gt;"",'Settings'!$B$3-$B68&lt;=14)),0,IF($E68/12&gt;=0.75,IF(1-($D68/4)/($E68/12)&gt;=0.3,ROUND(30*(1-($D68/4)/($E68/12)),0),0),0)))</f>
        <v/>
      </c>
      <c r="M68" s="11">
        <f>IF($A68="","",IF(OR($H68="Paused",AND($B68&lt;&gt;"",'Settings'!$B$3-$B68&lt;=14)),0,IF($C68="",12,IF(MAX(0,'Settings'!$B$3-$C68)&lt;=7,0,IF(MAX(0,'Settings'!$B$3-$C68)&lt;=14,6,IF(MAX(0,'Settings'!$B$3-$C68)&lt;=21,12,IF(MAX(0,'Settings'!$B$3-$C68)&lt;=35,18,20)))))))</f>
        <v/>
      </c>
      <c r="N68" s="11">
        <f>IF($A68="","",IF(AND($H68&lt;&gt;"Paused",OR($B68="",'Settings'!$B$3-$B68&gt;14),$L68=0,IF($F68&gt;=2,1-$D68/$F68&gt;=0.5,FALSE)),10,0))</f>
        <v/>
      </c>
      <c r="O68" s="11">
        <f>IF($A68="","",MIN(16,$G68*8))</f>
        <v/>
      </c>
      <c r="P68" s="11">
        <f>IF($A68="","",IF($H68="Paused",14,IF($I68&gt;0,6,0)))</f>
        <v/>
      </c>
      <c r="Q68" s="11">
        <f>IF($A68="","",IF($H68="Ended",30,0))</f>
        <v/>
      </c>
      <c r="R68" s="11">
        <f>IF($A68="","",MIN(15,$J68*8))</f>
        <v/>
      </c>
      <c r="S68" s="11">
        <f>IF($A68="","",IF(AND($B68&lt;&gt;"",$K68&lt;90,SUM($L68:$N68)&gt;0),ROUND(0.25*SUM($L68:$N68),0),0))</f>
        <v/>
      </c>
      <c r="T68" s="11">
        <f>IF($A68="","",MIN(100,SUM($L68:$S68)))</f>
        <v/>
      </c>
      <c r="U68" s="12">
        <f>IF($A68="","",IF($T68&lt;25,"Safe",IF($T68&lt;50,"Watch","At-risk")))</f>
        <v/>
      </c>
      <c r="V68" s="12">
        <f>IF($A68="","",IF($T68=0,"—",INDEX($L$1:$S$1,1,MATCH(MAX($L68:$S68),$L68:$S68,0))))</f>
        <v/>
      </c>
    </row>
    <row r="69">
      <c r="A69" s="13" t="n"/>
      <c r="B69" s="9" t="n"/>
      <c r="C69" s="9" t="n"/>
      <c r="D69" s="10" t="n"/>
      <c r="E69" s="10" t="n"/>
      <c r="F69" s="10" t="n"/>
      <c r="G69" s="10" t="n"/>
      <c r="H69" s="13" t="n"/>
      <c r="I69" s="10" t="n"/>
      <c r="J69" s="10" t="n"/>
      <c r="K69" s="11">
        <f>IF($A69="","",IF($B69="","",MAX(0,'Settings'!$B$3-$B69)))</f>
        <v/>
      </c>
      <c r="L69" s="11">
        <f>IF($A69="","",IF(OR($H69="Paused",AND($B69&lt;&gt;"",'Settings'!$B$3-$B69&lt;=14)),0,IF($E69/12&gt;=0.75,IF(1-($D69/4)/($E69/12)&gt;=0.3,ROUND(30*(1-($D69/4)/($E69/12)),0),0),0)))</f>
        <v/>
      </c>
      <c r="M69" s="11">
        <f>IF($A69="","",IF(OR($H69="Paused",AND($B69&lt;&gt;"",'Settings'!$B$3-$B69&lt;=14)),0,IF($C69="",12,IF(MAX(0,'Settings'!$B$3-$C69)&lt;=7,0,IF(MAX(0,'Settings'!$B$3-$C69)&lt;=14,6,IF(MAX(0,'Settings'!$B$3-$C69)&lt;=21,12,IF(MAX(0,'Settings'!$B$3-$C69)&lt;=35,18,20)))))))</f>
        <v/>
      </c>
      <c r="N69" s="11">
        <f>IF($A69="","",IF(AND($H69&lt;&gt;"Paused",OR($B69="",'Settings'!$B$3-$B69&gt;14),$L69=0,IF($F69&gt;=2,1-$D69/$F69&gt;=0.5,FALSE)),10,0))</f>
        <v/>
      </c>
      <c r="O69" s="11">
        <f>IF($A69="","",MIN(16,$G69*8))</f>
        <v/>
      </c>
      <c r="P69" s="11">
        <f>IF($A69="","",IF($H69="Paused",14,IF($I69&gt;0,6,0)))</f>
        <v/>
      </c>
      <c r="Q69" s="11">
        <f>IF($A69="","",IF($H69="Ended",30,0))</f>
        <v/>
      </c>
      <c r="R69" s="11">
        <f>IF($A69="","",MIN(15,$J69*8))</f>
        <v/>
      </c>
      <c r="S69" s="11">
        <f>IF($A69="","",IF(AND($B69&lt;&gt;"",$K69&lt;90,SUM($L69:$N69)&gt;0),ROUND(0.25*SUM($L69:$N69),0),0))</f>
        <v/>
      </c>
      <c r="T69" s="11">
        <f>IF($A69="","",MIN(100,SUM($L69:$S69)))</f>
        <v/>
      </c>
      <c r="U69" s="12">
        <f>IF($A69="","",IF($T69&lt;25,"Safe",IF($T69&lt;50,"Watch","At-risk")))</f>
        <v/>
      </c>
      <c r="V69" s="12">
        <f>IF($A69="","",IF($T69=0,"—",INDEX($L$1:$S$1,1,MATCH(MAX($L69:$S69),$L69:$S69,0))))</f>
        <v/>
      </c>
    </row>
    <row r="70">
      <c r="A70" s="13" t="n"/>
      <c r="B70" s="9" t="n"/>
      <c r="C70" s="9" t="n"/>
      <c r="D70" s="10" t="n"/>
      <c r="E70" s="10" t="n"/>
      <c r="F70" s="10" t="n"/>
      <c r="G70" s="10" t="n"/>
      <c r="H70" s="13" t="n"/>
      <c r="I70" s="10" t="n"/>
      <c r="J70" s="10" t="n"/>
      <c r="K70" s="11">
        <f>IF($A70="","",IF($B70="","",MAX(0,'Settings'!$B$3-$B70)))</f>
        <v/>
      </c>
      <c r="L70" s="11">
        <f>IF($A70="","",IF(OR($H70="Paused",AND($B70&lt;&gt;"",'Settings'!$B$3-$B70&lt;=14)),0,IF($E70/12&gt;=0.75,IF(1-($D70/4)/($E70/12)&gt;=0.3,ROUND(30*(1-($D70/4)/($E70/12)),0),0),0)))</f>
        <v/>
      </c>
      <c r="M70" s="11">
        <f>IF($A70="","",IF(OR($H70="Paused",AND($B70&lt;&gt;"",'Settings'!$B$3-$B70&lt;=14)),0,IF($C70="",12,IF(MAX(0,'Settings'!$B$3-$C70)&lt;=7,0,IF(MAX(0,'Settings'!$B$3-$C70)&lt;=14,6,IF(MAX(0,'Settings'!$B$3-$C70)&lt;=21,12,IF(MAX(0,'Settings'!$B$3-$C70)&lt;=35,18,20)))))))</f>
        <v/>
      </c>
      <c r="N70" s="11">
        <f>IF($A70="","",IF(AND($H70&lt;&gt;"Paused",OR($B70="",'Settings'!$B$3-$B70&gt;14),$L70=0,IF($F70&gt;=2,1-$D70/$F70&gt;=0.5,FALSE)),10,0))</f>
        <v/>
      </c>
      <c r="O70" s="11">
        <f>IF($A70="","",MIN(16,$G70*8))</f>
        <v/>
      </c>
      <c r="P70" s="11">
        <f>IF($A70="","",IF($H70="Paused",14,IF($I70&gt;0,6,0)))</f>
        <v/>
      </c>
      <c r="Q70" s="11">
        <f>IF($A70="","",IF($H70="Ended",30,0))</f>
        <v/>
      </c>
      <c r="R70" s="11">
        <f>IF($A70="","",MIN(15,$J70*8))</f>
        <v/>
      </c>
      <c r="S70" s="11">
        <f>IF($A70="","",IF(AND($B70&lt;&gt;"",$K70&lt;90,SUM($L70:$N70)&gt;0),ROUND(0.25*SUM($L70:$N70),0),0))</f>
        <v/>
      </c>
      <c r="T70" s="11">
        <f>IF($A70="","",MIN(100,SUM($L70:$S70)))</f>
        <v/>
      </c>
      <c r="U70" s="12">
        <f>IF($A70="","",IF($T70&lt;25,"Safe",IF($T70&lt;50,"Watch","At-risk")))</f>
        <v/>
      </c>
      <c r="V70" s="12">
        <f>IF($A70="","",IF($T70=0,"—",INDEX($L$1:$S$1,1,MATCH(MAX($L70:$S70),$L70:$S70,0))))</f>
        <v/>
      </c>
    </row>
    <row r="71">
      <c r="A71" s="13" t="n"/>
      <c r="B71" s="9" t="n"/>
      <c r="C71" s="9" t="n"/>
      <c r="D71" s="10" t="n"/>
      <c r="E71" s="10" t="n"/>
      <c r="F71" s="10" t="n"/>
      <c r="G71" s="10" t="n"/>
      <c r="H71" s="13" t="n"/>
      <c r="I71" s="10" t="n"/>
      <c r="J71" s="10" t="n"/>
      <c r="K71" s="11">
        <f>IF($A71="","",IF($B71="","",MAX(0,'Settings'!$B$3-$B71)))</f>
        <v/>
      </c>
      <c r="L71" s="11">
        <f>IF($A71="","",IF(OR($H71="Paused",AND($B71&lt;&gt;"",'Settings'!$B$3-$B71&lt;=14)),0,IF($E71/12&gt;=0.75,IF(1-($D71/4)/($E71/12)&gt;=0.3,ROUND(30*(1-($D71/4)/($E71/12)),0),0),0)))</f>
        <v/>
      </c>
      <c r="M71" s="11">
        <f>IF($A71="","",IF(OR($H71="Paused",AND($B71&lt;&gt;"",'Settings'!$B$3-$B71&lt;=14)),0,IF($C71="",12,IF(MAX(0,'Settings'!$B$3-$C71)&lt;=7,0,IF(MAX(0,'Settings'!$B$3-$C71)&lt;=14,6,IF(MAX(0,'Settings'!$B$3-$C71)&lt;=21,12,IF(MAX(0,'Settings'!$B$3-$C71)&lt;=35,18,20)))))))</f>
        <v/>
      </c>
      <c r="N71" s="11">
        <f>IF($A71="","",IF(AND($H71&lt;&gt;"Paused",OR($B71="",'Settings'!$B$3-$B71&gt;14),$L71=0,IF($F71&gt;=2,1-$D71/$F71&gt;=0.5,FALSE)),10,0))</f>
        <v/>
      </c>
      <c r="O71" s="11">
        <f>IF($A71="","",MIN(16,$G71*8))</f>
        <v/>
      </c>
      <c r="P71" s="11">
        <f>IF($A71="","",IF($H71="Paused",14,IF($I71&gt;0,6,0)))</f>
        <v/>
      </c>
      <c r="Q71" s="11">
        <f>IF($A71="","",IF($H71="Ended",30,0))</f>
        <v/>
      </c>
      <c r="R71" s="11">
        <f>IF($A71="","",MIN(15,$J71*8))</f>
        <v/>
      </c>
      <c r="S71" s="11">
        <f>IF($A71="","",IF(AND($B71&lt;&gt;"",$K71&lt;90,SUM($L71:$N71)&gt;0),ROUND(0.25*SUM($L71:$N71),0),0))</f>
        <v/>
      </c>
      <c r="T71" s="11">
        <f>IF($A71="","",MIN(100,SUM($L71:$S71)))</f>
        <v/>
      </c>
      <c r="U71" s="12">
        <f>IF($A71="","",IF($T71&lt;25,"Safe",IF($T71&lt;50,"Watch","At-risk")))</f>
        <v/>
      </c>
      <c r="V71" s="12">
        <f>IF($A71="","",IF($T71=0,"—",INDEX($L$1:$S$1,1,MATCH(MAX($L71:$S71),$L71:$S71,0))))</f>
        <v/>
      </c>
    </row>
    <row r="72">
      <c r="A72" s="13" t="n"/>
      <c r="B72" s="9" t="n"/>
      <c r="C72" s="9" t="n"/>
      <c r="D72" s="10" t="n"/>
      <c r="E72" s="10" t="n"/>
      <c r="F72" s="10" t="n"/>
      <c r="G72" s="10" t="n"/>
      <c r="H72" s="13" t="n"/>
      <c r="I72" s="10" t="n"/>
      <c r="J72" s="10" t="n"/>
      <c r="K72" s="11">
        <f>IF($A72="","",IF($B72="","",MAX(0,'Settings'!$B$3-$B72)))</f>
        <v/>
      </c>
      <c r="L72" s="11">
        <f>IF($A72="","",IF(OR($H72="Paused",AND($B72&lt;&gt;"",'Settings'!$B$3-$B72&lt;=14)),0,IF($E72/12&gt;=0.75,IF(1-($D72/4)/($E72/12)&gt;=0.3,ROUND(30*(1-($D72/4)/($E72/12)),0),0),0)))</f>
        <v/>
      </c>
      <c r="M72" s="11">
        <f>IF($A72="","",IF(OR($H72="Paused",AND($B72&lt;&gt;"",'Settings'!$B$3-$B72&lt;=14)),0,IF($C72="",12,IF(MAX(0,'Settings'!$B$3-$C72)&lt;=7,0,IF(MAX(0,'Settings'!$B$3-$C72)&lt;=14,6,IF(MAX(0,'Settings'!$B$3-$C72)&lt;=21,12,IF(MAX(0,'Settings'!$B$3-$C72)&lt;=35,18,20)))))))</f>
        <v/>
      </c>
      <c r="N72" s="11">
        <f>IF($A72="","",IF(AND($H72&lt;&gt;"Paused",OR($B72="",'Settings'!$B$3-$B72&gt;14),$L72=0,IF($F72&gt;=2,1-$D72/$F72&gt;=0.5,FALSE)),10,0))</f>
        <v/>
      </c>
      <c r="O72" s="11">
        <f>IF($A72="","",MIN(16,$G72*8))</f>
        <v/>
      </c>
      <c r="P72" s="11">
        <f>IF($A72="","",IF($H72="Paused",14,IF($I72&gt;0,6,0)))</f>
        <v/>
      </c>
      <c r="Q72" s="11">
        <f>IF($A72="","",IF($H72="Ended",30,0))</f>
        <v/>
      </c>
      <c r="R72" s="11">
        <f>IF($A72="","",MIN(15,$J72*8))</f>
        <v/>
      </c>
      <c r="S72" s="11">
        <f>IF($A72="","",IF(AND($B72&lt;&gt;"",$K72&lt;90,SUM($L72:$N72)&gt;0),ROUND(0.25*SUM($L72:$N72),0),0))</f>
        <v/>
      </c>
      <c r="T72" s="11">
        <f>IF($A72="","",MIN(100,SUM($L72:$S72)))</f>
        <v/>
      </c>
      <c r="U72" s="12">
        <f>IF($A72="","",IF($T72&lt;25,"Safe",IF($T72&lt;50,"Watch","At-risk")))</f>
        <v/>
      </c>
      <c r="V72" s="12">
        <f>IF($A72="","",IF($T72=0,"—",INDEX($L$1:$S$1,1,MATCH(MAX($L72:$S72),$L72:$S72,0))))</f>
        <v/>
      </c>
    </row>
    <row r="73">
      <c r="A73" s="13" t="n"/>
      <c r="B73" s="9" t="n"/>
      <c r="C73" s="9" t="n"/>
      <c r="D73" s="10" t="n"/>
      <c r="E73" s="10" t="n"/>
      <c r="F73" s="10" t="n"/>
      <c r="G73" s="10" t="n"/>
      <c r="H73" s="13" t="n"/>
      <c r="I73" s="10" t="n"/>
      <c r="J73" s="10" t="n"/>
      <c r="K73" s="11">
        <f>IF($A73="","",IF($B73="","",MAX(0,'Settings'!$B$3-$B73)))</f>
        <v/>
      </c>
      <c r="L73" s="11">
        <f>IF($A73="","",IF(OR($H73="Paused",AND($B73&lt;&gt;"",'Settings'!$B$3-$B73&lt;=14)),0,IF($E73/12&gt;=0.75,IF(1-($D73/4)/($E73/12)&gt;=0.3,ROUND(30*(1-($D73/4)/($E73/12)),0),0),0)))</f>
        <v/>
      </c>
      <c r="M73" s="11">
        <f>IF($A73="","",IF(OR($H73="Paused",AND($B73&lt;&gt;"",'Settings'!$B$3-$B73&lt;=14)),0,IF($C73="",12,IF(MAX(0,'Settings'!$B$3-$C73)&lt;=7,0,IF(MAX(0,'Settings'!$B$3-$C73)&lt;=14,6,IF(MAX(0,'Settings'!$B$3-$C73)&lt;=21,12,IF(MAX(0,'Settings'!$B$3-$C73)&lt;=35,18,20)))))))</f>
        <v/>
      </c>
      <c r="N73" s="11">
        <f>IF($A73="","",IF(AND($H73&lt;&gt;"Paused",OR($B73="",'Settings'!$B$3-$B73&gt;14),$L73=0,IF($F73&gt;=2,1-$D73/$F73&gt;=0.5,FALSE)),10,0))</f>
        <v/>
      </c>
      <c r="O73" s="11">
        <f>IF($A73="","",MIN(16,$G73*8))</f>
        <v/>
      </c>
      <c r="P73" s="11">
        <f>IF($A73="","",IF($H73="Paused",14,IF($I73&gt;0,6,0)))</f>
        <v/>
      </c>
      <c r="Q73" s="11">
        <f>IF($A73="","",IF($H73="Ended",30,0))</f>
        <v/>
      </c>
      <c r="R73" s="11">
        <f>IF($A73="","",MIN(15,$J73*8))</f>
        <v/>
      </c>
      <c r="S73" s="11">
        <f>IF($A73="","",IF(AND($B73&lt;&gt;"",$K73&lt;90,SUM($L73:$N73)&gt;0),ROUND(0.25*SUM($L73:$N73),0),0))</f>
        <v/>
      </c>
      <c r="T73" s="11">
        <f>IF($A73="","",MIN(100,SUM($L73:$S73)))</f>
        <v/>
      </c>
      <c r="U73" s="12">
        <f>IF($A73="","",IF($T73&lt;25,"Safe",IF($T73&lt;50,"Watch","At-risk")))</f>
        <v/>
      </c>
      <c r="V73" s="12">
        <f>IF($A73="","",IF($T73=0,"—",INDEX($L$1:$S$1,1,MATCH(MAX($L73:$S73),$L73:$S73,0))))</f>
        <v/>
      </c>
    </row>
    <row r="74">
      <c r="A74" s="13" t="n"/>
      <c r="B74" s="9" t="n"/>
      <c r="C74" s="9" t="n"/>
      <c r="D74" s="10" t="n"/>
      <c r="E74" s="10" t="n"/>
      <c r="F74" s="10" t="n"/>
      <c r="G74" s="10" t="n"/>
      <c r="H74" s="13" t="n"/>
      <c r="I74" s="10" t="n"/>
      <c r="J74" s="10" t="n"/>
      <c r="K74" s="11">
        <f>IF($A74="","",IF($B74="","",MAX(0,'Settings'!$B$3-$B74)))</f>
        <v/>
      </c>
      <c r="L74" s="11">
        <f>IF($A74="","",IF(OR($H74="Paused",AND($B74&lt;&gt;"",'Settings'!$B$3-$B74&lt;=14)),0,IF($E74/12&gt;=0.75,IF(1-($D74/4)/($E74/12)&gt;=0.3,ROUND(30*(1-($D74/4)/($E74/12)),0),0),0)))</f>
        <v/>
      </c>
      <c r="M74" s="11">
        <f>IF($A74="","",IF(OR($H74="Paused",AND($B74&lt;&gt;"",'Settings'!$B$3-$B74&lt;=14)),0,IF($C74="",12,IF(MAX(0,'Settings'!$B$3-$C74)&lt;=7,0,IF(MAX(0,'Settings'!$B$3-$C74)&lt;=14,6,IF(MAX(0,'Settings'!$B$3-$C74)&lt;=21,12,IF(MAX(0,'Settings'!$B$3-$C74)&lt;=35,18,20)))))))</f>
        <v/>
      </c>
      <c r="N74" s="11">
        <f>IF($A74="","",IF(AND($H74&lt;&gt;"Paused",OR($B74="",'Settings'!$B$3-$B74&gt;14),$L74=0,IF($F74&gt;=2,1-$D74/$F74&gt;=0.5,FALSE)),10,0))</f>
        <v/>
      </c>
      <c r="O74" s="11">
        <f>IF($A74="","",MIN(16,$G74*8))</f>
        <v/>
      </c>
      <c r="P74" s="11">
        <f>IF($A74="","",IF($H74="Paused",14,IF($I74&gt;0,6,0)))</f>
        <v/>
      </c>
      <c r="Q74" s="11">
        <f>IF($A74="","",IF($H74="Ended",30,0))</f>
        <v/>
      </c>
      <c r="R74" s="11">
        <f>IF($A74="","",MIN(15,$J74*8))</f>
        <v/>
      </c>
      <c r="S74" s="11">
        <f>IF($A74="","",IF(AND($B74&lt;&gt;"",$K74&lt;90,SUM($L74:$N74)&gt;0),ROUND(0.25*SUM($L74:$N74),0),0))</f>
        <v/>
      </c>
      <c r="T74" s="11">
        <f>IF($A74="","",MIN(100,SUM($L74:$S74)))</f>
        <v/>
      </c>
      <c r="U74" s="12">
        <f>IF($A74="","",IF($T74&lt;25,"Safe",IF($T74&lt;50,"Watch","At-risk")))</f>
        <v/>
      </c>
      <c r="V74" s="12">
        <f>IF($A74="","",IF($T74=0,"—",INDEX($L$1:$S$1,1,MATCH(MAX($L74:$S74),$L74:$S74,0))))</f>
        <v/>
      </c>
    </row>
    <row r="75">
      <c r="A75" s="13" t="n"/>
      <c r="B75" s="9" t="n"/>
      <c r="C75" s="9" t="n"/>
      <c r="D75" s="10" t="n"/>
      <c r="E75" s="10" t="n"/>
      <c r="F75" s="10" t="n"/>
      <c r="G75" s="10" t="n"/>
      <c r="H75" s="13" t="n"/>
      <c r="I75" s="10" t="n"/>
      <c r="J75" s="10" t="n"/>
      <c r="K75" s="11">
        <f>IF($A75="","",IF($B75="","",MAX(0,'Settings'!$B$3-$B75)))</f>
        <v/>
      </c>
      <c r="L75" s="11">
        <f>IF($A75="","",IF(OR($H75="Paused",AND($B75&lt;&gt;"",'Settings'!$B$3-$B75&lt;=14)),0,IF($E75/12&gt;=0.75,IF(1-($D75/4)/($E75/12)&gt;=0.3,ROUND(30*(1-($D75/4)/($E75/12)),0),0),0)))</f>
        <v/>
      </c>
      <c r="M75" s="11">
        <f>IF($A75="","",IF(OR($H75="Paused",AND($B75&lt;&gt;"",'Settings'!$B$3-$B75&lt;=14)),0,IF($C75="",12,IF(MAX(0,'Settings'!$B$3-$C75)&lt;=7,0,IF(MAX(0,'Settings'!$B$3-$C75)&lt;=14,6,IF(MAX(0,'Settings'!$B$3-$C75)&lt;=21,12,IF(MAX(0,'Settings'!$B$3-$C75)&lt;=35,18,20)))))))</f>
        <v/>
      </c>
      <c r="N75" s="11">
        <f>IF($A75="","",IF(AND($H75&lt;&gt;"Paused",OR($B75="",'Settings'!$B$3-$B75&gt;14),$L75=0,IF($F75&gt;=2,1-$D75/$F75&gt;=0.5,FALSE)),10,0))</f>
        <v/>
      </c>
      <c r="O75" s="11">
        <f>IF($A75="","",MIN(16,$G75*8))</f>
        <v/>
      </c>
      <c r="P75" s="11">
        <f>IF($A75="","",IF($H75="Paused",14,IF($I75&gt;0,6,0)))</f>
        <v/>
      </c>
      <c r="Q75" s="11">
        <f>IF($A75="","",IF($H75="Ended",30,0))</f>
        <v/>
      </c>
      <c r="R75" s="11">
        <f>IF($A75="","",MIN(15,$J75*8))</f>
        <v/>
      </c>
      <c r="S75" s="11">
        <f>IF($A75="","",IF(AND($B75&lt;&gt;"",$K75&lt;90,SUM($L75:$N75)&gt;0),ROUND(0.25*SUM($L75:$N75),0),0))</f>
        <v/>
      </c>
      <c r="T75" s="11">
        <f>IF($A75="","",MIN(100,SUM($L75:$S75)))</f>
        <v/>
      </c>
      <c r="U75" s="12">
        <f>IF($A75="","",IF($T75&lt;25,"Safe",IF($T75&lt;50,"Watch","At-risk")))</f>
        <v/>
      </c>
      <c r="V75" s="12">
        <f>IF($A75="","",IF($T75=0,"—",INDEX($L$1:$S$1,1,MATCH(MAX($L75:$S75),$L75:$S75,0))))</f>
        <v/>
      </c>
    </row>
    <row r="76">
      <c r="A76" s="13" t="n"/>
      <c r="B76" s="9" t="n"/>
      <c r="C76" s="9" t="n"/>
      <c r="D76" s="10" t="n"/>
      <c r="E76" s="10" t="n"/>
      <c r="F76" s="10" t="n"/>
      <c r="G76" s="10" t="n"/>
      <c r="H76" s="13" t="n"/>
      <c r="I76" s="10" t="n"/>
      <c r="J76" s="10" t="n"/>
      <c r="K76" s="11">
        <f>IF($A76="","",IF($B76="","",MAX(0,'Settings'!$B$3-$B76)))</f>
        <v/>
      </c>
      <c r="L76" s="11">
        <f>IF($A76="","",IF(OR($H76="Paused",AND($B76&lt;&gt;"",'Settings'!$B$3-$B76&lt;=14)),0,IF($E76/12&gt;=0.75,IF(1-($D76/4)/($E76/12)&gt;=0.3,ROUND(30*(1-($D76/4)/($E76/12)),0),0),0)))</f>
        <v/>
      </c>
      <c r="M76" s="11">
        <f>IF($A76="","",IF(OR($H76="Paused",AND($B76&lt;&gt;"",'Settings'!$B$3-$B76&lt;=14)),0,IF($C76="",12,IF(MAX(0,'Settings'!$B$3-$C76)&lt;=7,0,IF(MAX(0,'Settings'!$B$3-$C76)&lt;=14,6,IF(MAX(0,'Settings'!$B$3-$C76)&lt;=21,12,IF(MAX(0,'Settings'!$B$3-$C76)&lt;=35,18,20)))))))</f>
        <v/>
      </c>
      <c r="N76" s="11">
        <f>IF($A76="","",IF(AND($H76&lt;&gt;"Paused",OR($B76="",'Settings'!$B$3-$B76&gt;14),$L76=0,IF($F76&gt;=2,1-$D76/$F76&gt;=0.5,FALSE)),10,0))</f>
        <v/>
      </c>
      <c r="O76" s="11">
        <f>IF($A76="","",MIN(16,$G76*8))</f>
        <v/>
      </c>
      <c r="P76" s="11">
        <f>IF($A76="","",IF($H76="Paused",14,IF($I76&gt;0,6,0)))</f>
        <v/>
      </c>
      <c r="Q76" s="11">
        <f>IF($A76="","",IF($H76="Ended",30,0))</f>
        <v/>
      </c>
      <c r="R76" s="11">
        <f>IF($A76="","",MIN(15,$J76*8))</f>
        <v/>
      </c>
      <c r="S76" s="11">
        <f>IF($A76="","",IF(AND($B76&lt;&gt;"",$K76&lt;90,SUM($L76:$N76)&gt;0),ROUND(0.25*SUM($L76:$N76),0),0))</f>
        <v/>
      </c>
      <c r="T76" s="11">
        <f>IF($A76="","",MIN(100,SUM($L76:$S76)))</f>
        <v/>
      </c>
      <c r="U76" s="12">
        <f>IF($A76="","",IF($T76&lt;25,"Safe",IF($T76&lt;50,"Watch","At-risk")))</f>
        <v/>
      </c>
      <c r="V76" s="12">
        <f>IF($A76="","",IF($T76=0,"—",INDEX($L$1:$S$1,1,MATCH(MAX($L76:$S76),$L76:$S76,0))))</f>
        <v/>
      </c>
    </row>
    <row r="77">
      <c r="A77" s="13" t="n"/>
      <c r="B77" s="9" t="n"/>
      <c r="C77" s="9" t="n"/>
      <c r="D77" s="10" t="n"/>
      <c r="E77" s="10" t="n"/>
      <c r="F77" s="10" t="n"/>
      <c r="G77" s="10" t="n"/>
      <c r="H77" s="13" t="n"/>
      <c r="I77" s="10" t="n"/>
      <c r="J77" s="10" t="n"/>
      <c r="K77" s="11">
        <f>IF($A77="","",IF($B77="","",MAX(0,'Settings'!$B$3-$B77)))</f>
        <v/>
      </c>
      <c r="L77" s="11">
        <f>IF($A77="","",IF(OR($H77="Paused",AND($B77&lt;&gt;"",'Settings'!$B$3-$B77&lt;=14)),0,IF($E77/12&gt;=0.75,IF(1-($D77/4)/($E77/12)&gt;=0.3,ROUND(30*(1-($D77/4)/($E77/12)),0),0),0)))</f>
        <v/>
      </c>
      <c r="M77" s="11">
        <f>IF($A77="","",IF(OR($H77="Paused",AND($B77&lt;&gt;"",'Settings'!$B$3-$B77&lt;=14)),0,IF($C77="",12,IF(MAX(0,'Settings'!$B$3-$C77)&lt;=7,0,IF(MAX(0,'Settings'!$B$3-$C77)&lt;=14,6,IF(MAX(0,'Settings'!$B$3-$C77)&lt;=21,12,IF(MAX(0,'Settings'!$B$3-$C77)&lt;=35,18,20)))))))</f>
        <v/>
      </c>
      <c r="N77" s="11">
        <f>IF($A77="","",IF(AND($H77&lt;&gt;"Paused",OR($B77="",'Settings'!$B$3-$B77&gt;14),$L77=0,IF($F77&gt;=2,1-$D77/$F77&gt;=0.5,FALSE)),10,0))</f>
        <v/>
      </c>
      <c r="O77" s="11">
        <f>IF($A77="","",MIN(16,$G77*8))</f>
        <v/>
      </c>
      <c r="P77" s="11">
        <f>IF($A77="","",IF($H77="Paused",14,IF($I77&gt;0,6,0)))</f>
        <v/>
      </c>
      <c r="Q77" s="11">
        <f>IF($A77="","",IF($H77="Ended",30,0))</f>
        <v/>
      </c>
      <c r="R77" s="11">
        <f>IF($A77="","",MIN(15,$J77*8))</f>
        <v/>
      </c>
      <c r="S77" s="11">
        <f>IF($A77="","",IF(AND($B77&lt;&gt;"",$K77&lt;90,SUM($L77:$N77)&gt;0),ROUND(0.25*SUM($L77:$N77),0),0))</f>
        <v/>
      </c>
      <c r="T77" s="11">
        <f>IF($A77="","",MIN(100,SUM($L77:$S77)))</f>
        <v/>
      </c>
      <c r="U77" s="12">
        <f>IF($A77="","",IF($T77&lt;25,"Safe",IF($T77&lt;50,"Watch","At-risk")))</f>
        <v/>
      </c>
      <c r="V77" s="12">
        <f>IF($A77="","",IF($T77=0,"—",INDEX($L$1:$S$1,1,MATCH(MAX($L77:$S77),$L77:$S77,0))))</f>
        <v/>
      </c>
    </row>
    <row r="78">
      <c r="A78" s="13" t="n"/>
      <c r="B78" s="9" t="n"/>
      <c r="C78" s="9" t="n"/>
      <c r="D78" s="10" t="n"/>
      <c r="E78" s="10" t="n"/>
      <c r="F78" s="10" t="n"/>
      <c r="G78" s="10" t="n"/>
      <c r="H78" s="13" t="n"/>
      <c r="I78" s="10" t="n"/>
      <c r="J78" s="10" t="n"/>
      <c r="K78" s="11">
        <f>IF($A78="","",IF($B78="","",MAX(0,'Settings'!$B$3-$B78)))</f>
        <v/>
      </c>
      <c r="L78" s="11">
        <f>IF($A78="","",IF(OR($H78="Paused",AND($B78&lt;&gt;"",'Settings'!$B$3-$B78&lt;=14)),0,IF($E78/12&gt;=0.75,IF(1-($D78/4)/($E78/12)&gt;=0.3,ROUND(30*(1-($D78/4)/($E78/12)),0),0),0)))</f>
        <v/>
      </c>
      <c r="M78" s="11">
        <f>IF($A78="","",IF(OR($H78="Paused",AND($B78&lt;&gt;"",'Settings'!$B$3-$B78&lt;=14)),0,IF($C78="",12,IF(MAX(0,'Settings'!$B$3-$C78)&lt;=7,0,IF(MAX(0,'Settings'!$B$3-$C78)&lt;=14,6,IF(MAX(0,'Settings'!$B$3-$C78)&lt;=21,12,IF(MAX(0,'Settings'!$B$3-$C78)&lt;=35,18,20)))))))</f>
        <v/>
      </c>
      <c r="N78" s="11">
        <f>IF($A78="","",IF(AND($H78&lt;&gt;"Paused",OR($B78="",'Settings'!$B$3-$B78&gt;14),$L78=0,IF($F78&gt;=2,1-$D78/$F78&gt;=0.5,FALSE)),10,0))</f>
        <v/>
      </c>
      <c r="O78" s="11">
        <f>IF($A78="","",MIN(16,$G78*8))</f>
        <v/>
      </c>
      <c r="P78" s="11">
        <f>IF($A78="","",IF($H78="Paused",14,IF($I78&gt;0,6,0)))</f>
        <v/>
      </c>
      <c r="Q78" s="11">
        <f>IF($A78="","",IF($H78="Ended",30,0))</f>
        <v/>
      </c>
      <c r="R78" s="11">
        <f>IF($A78="","",MIN(15,$J78*8))</f>
        <v/>
      </c>
      <c r="S78" s="11">
        <f>IF($A78="","",IF(AND($B78&lt;&gt;"",$K78&lt;90,SUM($L78:$N78)&gt;0),ROUND(0.25*SUM($L78:$N78),0),0))</f>
        <v/>
      </c>
      <c r="T78" s="11">
        <f>IF($A78="","",MIN(100,SUM($L78:$S78)))</f>
        <v/>
      </c>
      <c r="U78" s="12">
        <f>IF($A78="","",IF($T78&lt;25,"Safe",IF($T78&lt;50,"Watch","At-risk")))</f>
        <v/>
      </c>
      <c r="V78" s="12">
        <f>IF($A78="","",IF($T78=0,"—",INDEX($L$1:$S$1,1,MATCH(MAX($L78:$S78),$L78:$S78,0))))</f>
        <v/>
      </c>
    </row>
    <row r="79">
      <c r="A79" s="13" t="n"/>
      <c r="B79" s="9" t="n"/>
      <c r="C79" s="9" t="n"/>
      <c r="D79" s="10" t="n"/>
      <c r="E79" s="10" t="n"/>
      <c r="F79" s="10" t="n"/>
      <c r="G79" s="10" t="n"/>
      <c r="H79" s="13" t="n"/>
      <c r="I79" s="10" t="n"/>
      <c r="J79" s="10" t="n"/>
      <c r="K79" s="11">
        <f>IF($A79="","",IF($B79="","",MAX(0,'Settings'!$B$3-$B79)))</f>
        <v/>
      </c>
      <c r="L79" s="11">
        <f>IF($A79="","",IF(OR($H79="Paused",AND($B79&lt;&gt;"",'Settings'!$B$3-$B79&lt;=14)),0,IF($E79/12&gt;=0.75,IF(1-($D79/4)/($E79/12)&gt;=0.3,ROUND(30*(1-($D79/4)/($E79/12)),0),0),0)))</f>
        <v/>
      </c>
      <c r="M79" s="11">
        <f>IF($A79="","",IF(OR($H79="Paused",AND($B79&lt;&gt;"",'Settings'!$B$3-$B79&lt;=14)),0,IF($C79="",12,IF(MAX(0,'Settings'!$B$3-$C79)&lt;=7,0,IF(MAX(0,'Settings'!$B$3-$C79)&lt;=14,6,IF(MAX(0,'Settings'!$B$3-$C79)&lt;=21,12,IF(MAX(0,'Settings'!$B$3-$C79)&lt;=35,18,20)))))))</f>
        <v/>
      </c>
      <c r="N79" s="11">
        <f>IF($A79="","",IF(AND($H79&lt;&gt;"Paused",OR($B79="",'Settings'!$B$3-$B79&gt;14),$L79=0,IF($F79&gt;=2,1-$D79/$F79&gt;=0.5,FALSE)),10,0))</f>
        <v/>
      </c>
      <c r="O79" s="11">
        <f>IF($A79="","",MIN(16,$G79*8))</f>
        <v/>
      </c>
      <c r="P79" s="11">
        <f>IF($A79="","",IF($H79="Paused",14,IF($I79&gt;0,6,0)))</f>
        <v/>
      </c>
      <c r="Q79" s="11">
        <f>IF($A79="","",IF($H79="Ended",30,0))</f>
        <v/>
      </c>
      <c r="R79" s="11">
        <f>IF($A79="","",MIN(15,$J79*8))</f>
        <v/>
      </c>
      <c r="S79" s="11">
        <f>IF($A79="","",IF(AND($B79&lt;&gt;"",$K79&lt;90,SUM($L79:$N79)&gt;0),ROUND(0.25*SUM($L79:$N79),0),0))</f>
        <v/>
      </c>
      <c r="T79" s="11">
        <f>IF($A79="","",MIN(100,SUM($L79:$S79)))</f>
        <v/>
      </c>
      <c r="U79" s="12">
        <f>IF($A79="","",IF($T79&lt;25,"Safe",IF($T79&lt;50,"Watch","At-risk")))</f>
        <v/>
      </c>
      <c r="V79" s="12">
        <f>IF($A79="","",IF($T79=0,"—",INDEX($L$1:$S$1,1,MATCH(MAX($L79:$S79),$L79:$S79,0))))</f>
        <v/>
      </c>
    </row>
    <row r="80">
      <c r="A80" s="13" t="n"/>
      <c r="B80" s="9" t="n"/>
      <c r="C80" s="9" t="n"/>
      <c r="D80" s="10" t="n"/>
      <c r="E80" s="10" t="n"/>
      <c r="F80" s="10" t="n"/>
      <c r="G80" s="10" t="n"/>
      <c r="H80" s="13" t="n"/>
      <c r="I80" s="10" t="n"/>
      <c r="J80" s="10" t="n"/>
      <c r="K80" s="11">
        <f>IF($A80="","",IF($B80="","",MAX(0,'Settings'!$B$3-$B80)))</f>
        <v/>
      </c>
      <c r="L80" s="11">
        <f>IF($A80="","",IF(OR($H80="Paused",AND($B80&lt;&gt;"",'Settings'!$B$3-$B80&lt;=14)),0,IF($E80/12&gt;=0.75,IF(1-($D80/4)/($E80/12)&gt;=0.3,ROUND(30*(1-($D80/4)/($E80/12)),0),0),0)))</f>
        <v/>
      </c>
      <c r="M80" s="11">
        <f>IF($A80="","",IF(OR($H80="Paused",AND($B80&lt;&gt;"",'Settings'!$B$3-$B80&lt;=14)),0,IF($C80="",12,IF(MAX(0,'Settings'!$B$3-$C80)&lt;=7,0,IF(MAX(0,'Settings'!$B$3-$C80)&lt;=14,6,IF(MAX(0,'Settings'!$B$3-$C80)&lt;=21,12,IF(MAX(0,'Settings'!$B$3-$C80)&lt;=35,18,20)))))))</f>
        <v/>
      </c>
      <c r="N80" s="11">
        <f>IF($A80="","",IF(AND($H80&lt;&gt;"Paused",OR($B80="",'Settings'!$B$3-$B80&gt;14),$L80=0,IF($F80&gt;=2,1-$D80/$F80&gt;=0.5,FALSE)),10,0))</f>
        <v/>
      </c>
      <c r="O80" s="11">
        <f>IF($A80="","",MIN(16,$G80*8))</f>
        <v/>
      </c>
      <c r="P80" s="11">
        <f>IF($A80="","",IF($H80="Paused",14,IF($I80&gt;0,6,0)))</f>
        <v/>
      </c>
      <c r="Q80" s="11">
        <f>IF($A80="","",IF($H80="Ended",30,0))</f>
        <v/>
      </c>
      <c r="R80" s="11">
        <f>IF($A80="","",MIN(15,$J80*8))</f>
        <v/>
      </c>
      <c r="S80" s="11">
        <f>IF($A80="","",IF(AND($B80&lt;&gt;"",$K80&lt;90,SUM($L80:$N80)&gt;0),ROUND(0.25*SUM($L80:$N80),0),0))</f>
        <v/>
      </c>
      <c r="T80" s="11">
        <f>IF($A80="","",MIN(100,SUM($L80:$S80)))</f>
        <v/>
      </c>
      <c r="U80" s="12">
        <f>IF($A80="","",IF($T80&lt;25,"Safe",IF($T80&lt;50,"Watch","At-risk")))</f>
        <v/>
      </c>
      <c r="V80" s="12">
        <f>IF($A80="","",IF($T80=0,"—",INDEX($L$1:$S$1,1,MATCH(MAX($L80:$S80),$L80:$S80,0))))</f>
        <v/>
      </c>
    </row>
    <row r="81">
      <c r="A81" s="13" t="n"/>
      <c r="B81" s="9" t="n"/>
      <c r="C81" s="9" t="n"/>
      <c r="D81" s="10" t="n"/>
      <c r="E81" s="10" t="n"/>
      <c r="F81" s="10" t="n"/>
      <c r="G81" s="10" t="n"/>
      <c r="H81" s="13" t="n"/>
      <c r="I81" s="10" t="n"/>
      <c r="J81" s="10" t="n"/>
      <c r="K81" s="11">
        <f>IF($A81="","",IF($B81="","",MAX(0,'Settings'!$B$3-$B81)))</f>
        <v/>
      </c>
      <c r="L81" s="11">
        <f>IF($A81="","",IF(OR($H81="Paused",AND($B81&lt;&gt;"",'Settings'!$B$3-$B81&lt;=14)),0,IF($E81/12&gt;=0.75,IF(1-($D81/4)/($E81/12)&gt;=0.3,ROUND(30*(1-($D81/4)/($E81/12)),0),0),0)))</f>
        <v/>
      </c>
      <c r="M81" s="11">
        <f>IF($A81="","",IF(OR($H81="Paused",AND($B81&lt;&gt;"",'Settings'!$B$3-$B81&lt;=14)),0,IF($C81="",12,IF(MAX(0,'Settings'!$B$3-$C81)&lt;=7,0,IF(MAX(0,'Settings'!$B$3-$C81)&lt;=14,6,IF(MAX(0,'Settings'!$B$3-$C81)&lt;=21,12,IF(MAX(0,'Settings'!$B$3-$C81)&lt;=35,18,20)))))))</f>
        <v/>
      </c>
      <c r="N81" s="11">
        <f>IF($A81="","",IF(AND($H81&lt;&gt;"Paused",OR($B81="",'Settings'!$B$3-$B81&gt;14),$L81=0,IF($F81&gt;=2,1-$D81/$F81&gt;=0.5,FALSE)),10,0))</f>
        <v/>
      </c>
      <c r="O81" s="11">
        <f>IF($A81="","",MIN(16,$G81*8))</f>
        <v/>
      </c>
      <c r="P81" s="11">
        <f>IF($A81="","",IF($H81="Paused",14,IF($I81&gt;0,6,0)))</f>
        <v/>
      </c>
      <c r="Q81" s="11">
        <f>IF($A81="","",IF($H81="Ended",30,0))</f>
        <v/>
      </c>
      <c r="R81" s="11">
        <f>IF($A81="","",MIN(15,$J81*8))</f>
        <v/>
      </c>
      <c r="S81" s="11">
        <f>IF($A81="","",IF(AND($B81&lt;&gt;"",$K81&lt;90,SUM($L81:$N81)&gt;0),ROUND(0.25*SUM($L81:$N81),0),0))</f>
        <v/>
      </c>
      <c r="T81" s="11">
        <f>IF($A81="","",MIN(100,SUM($L81:$S81)))</f>
        <v/>
      </c>
      <c r="U81" s="12">
        <f>IF($A81="","",IF($T81&lt;25,"Safe",IF($T81&lt;50,"Watch","At-risk")))</f>
        <v/>
      </c>
      <c r="V81" s="12">
        <f>IF($A81="","",IF($T81=0,"—",INDEX($L$1:$S$1,1,MATCH(MAX($L81:$S81),$L81:$S81,0))))</f>
        <v/>
      </c>
    </row>
    <row r="82">
      <c r="A82" s="13" t="n"/>
      <c r="B82" s="9" t="n"/>
      <c r="C82" s="9" t="n"/>
      <c r="D82" s="10" t="n"/>
      <c r="E82" s="10" t="n"/>
      <c r="F82" s="10" t="n"/>
      <c r="G82" s="10" t="n"/>
      <c r="H82" s="13" t="n"/>
      <c r="I82" s="10" t="n"/>
      <c r="J82" s="10" t="n"/>
      <c r="K82" s="11">
        <f>IF($A82="","",IF($B82="","",MAX(0,'Settings'!$B$3-$B82)))</f>
        <v/>
      </c>
      <c r="L82" s="11">
        <f>IF($A82="","",IF(OR($H82="Paused",AND($B82&lt;&gt;"",'Settings'!$B$3-$B82&lt;=14)),0,IF($E82/12&gt;=0.75,IF(1-($D82/4)/($E82/12)&gt;=0.3,ROUND(30*(1-($D82/4)/($E82/12)),0),0),0)))</f>
        <v/>
      </c>
      <c r="M82" s="11">
        <f>IF($A82="","",IF(OR($H82="Paused",AND($B82&lt;&gt;"",'Settings'!$B$3-$B82&lt;=14)),0,IF($C82="",12,IF(MAX(0,'Settings'!$B$3-$C82)&lt;=7,0,IF(MAX(0,'Settings'!$B$3-$C82)&lt;=14,6,IF(MAX(0,'Settings'!$B$3-$C82)&lt;=21,12,IF(MAX(0,'Settings'!$B$3-$C82)&lt;=35,18,20)))))))</f>
        <v/>
      </c>
      <c r="N82" s="11">
        <f>IF($A82="","",IF(AND($H82&lt;&gt;"Paused",OR($B82="",'Settings'!$B$3-$B82&gt;14),$L82=0,IF($F82&gt;=2,1-$D82/$F82&gt;=0.5,FALSE)),10,0))</f>
        <v/>
      </c>
      <c r="O82" s="11">
        <f>IF($A82="","",MIN(16,$G82*8))</f>
        <v/>
      </c>
      <c r="P82" s="11">
        <f>IF($A82="","",IF($H82="Paused",14,IF($I82&gt;0,6,0)))</f>
        <v/>
      </c>
      <c r="Q82" s="11">
        <f>IF($A82="","",IF($H82="Ended",30,0))</f>
        <v/>
      </c>
      <c r="R82" s="11">
        <f>IF($A82="","",MIN(15,$J82*8))</f>
        <v/>
      </c>
      <c r="S82" s="11">
        <f>IF($A82="","",IF(AND($B82&lt;&gt;"",$K82&lt;90,SUM($L82:$N82)&gt;0),ROUND(0.25*SUM($L82:$N82),0),0))</f>
        <v/>
      </c>
      <c r="T82" s="11">
        <f>IF($A82="","",MIN(100,SUM($L82:$S82)))</f>
        <v/>
      </c>
      <c r="U82" s="12">
        <f>IF($A82="","",IF($T82&lt;25,"Safe",IF($T82&lt;50,"Watch","At-risk")))</f>
        <v/>
      </c>
      <c r="V82" s="12">
        <f>IF($A82="","",IF($T82=0,"—",INDEX($L$1:$S$1,1,MATCH(MAX($L82:$S82),$L82:$S82,0))))</f>
        <v/>
      </c>
    </row>
    <row r="83">
      <c r="A83" s="13" t="n"/>
      <c r="B83" s="9" t="n"/>
      <c r="C83" s="9" t="n"/>
      <c r="D83" s="10" t="n"/>
      <c r="E83" s="10" t="n"/>
      <c r="F83" s="10" t="n"/>
      <c r="G83" s="10" t="n"/>
      <c r="H83" s="13" t="n"/>
      <c r="I83" s="10" t="n"/>
      <c r="J83" s="10" t="n"/>
      <c r="K83" s="11">
        <f>IF($A83="","",IF($B83="","",MAX(0,'Settings'!$B$3-$B83)))</f>
        <v/>
      </c>
      <c r="L83" s="11">
        <f>IF($A83="","",IF(OR($H83="Paused",AND($B83&lt;&gt;"",'Settings'!$B$3-$B83&lt;=14)),0,IF($E83/12&gt;=0.75,IF(1-($D83/4)/($E83/12)&gt;=0.3,ROUND(30*(1-($D83/4)/($E83/12)),0),0),0)))</f>
        <v/>
      </c>
      <c r="M83" s="11">
        <f>IF($A83="","",IF(OR($H83="Paused",AND($B83&lt;&gt;"",'Settings'!$B$3-$B83&lt;=14)),0,IF($C83="",12,IF(MAX(0,'Settings'!$B$3-$C83)&lt;=7,0,IF(MAX(0,'Settings'!$B$3-$C83)&lt;=14,6,IF(MAX(0,'Settings'!$B$3-$C83)&lt;=21,12,IF(MAX(0,'Settings'!$B$3-$C83)&lt;=35,18,20)))))))</f>
        <v/>
      </c>
      <c r="N83" s="11">
        <f>IF($A83="","",IF(AND($H83&lt;&gt;"Paused",OR($B83="",'Settings'!$B$3-$B83&gt;14),$L83=0,IF($F83&gt;=2,1-$D83/$F83&gt;=0.5,FALSE)),10,0))</f>
        <v/>
      </c>
      <c r="O83" s="11">
        <f>IF($A83="","",MIN(16,$G83*8))</f>
        <v/>
      </c>
      <c r="P83" s="11">
        <f>IF($A83="","",IF($H83="Paused",14,IF($I83&gt;0,6,0)))</f>
        <v/>
      </c>
      <c r="Q83" s="11">
        <f>IF($A83="","",IF($H83="Ended",30,0))</f>
        <v/>
      </c>
      <c r="R83" s="11">
        <f>IF($A83="","",MIN(15,$J83*8))</f>
        <v/>
      </c>
      <c r="S83" s="11">
        <f>IF($A83="","",IF(AND($B83&lt;&gt;"",$K83&lt;90,SUM($L83:$N83)&gt;0),ROUND(0.25*SUM($L83:$N83),0),0))</f>
        <v/>
      </c>
      <c r="T83" s="11">
        <f>IF($A83="","",MIN(100,SUM($L83:$S83)))</f>
        <v/>
      </c>
      <c r="U83" s="12">
        <f>IF($A83="","",IF($T83&lt;25,"Safe",IF($T83&lt;50,"Watch","At-risk")))</f>
        <v/>
      </c>
      <c r="V83" s="12">
        <f>IF($A83="","",IF($T83=0,"—",INDEX($L$1:$S$1,1,MATCH(MAX($L83:$S83),$L83:$S83,0))))</f>
        <v/>
      </c>
    </row>
    <row r="84">
      <c r="A84" s="13" t="n"/>
      <c r="B84" s="9" t="n"/>
      <c r="C84" s="9" t="n"/>
      <c r="D84" s="10" t="n"/>
      <c r="E84" s="10" t="n"/>
      <c r="F84" s="10" t="n"/>
      <c r="G84" s="10" t="n"/>
      <c r="H84" s="13" t="n"/>
      <c r="I84" s="10" t="n"/>
      <c r="J84" s="10" t="n"/>
      <c r="K84" s="11">
        <f>IF($A84="","",IF($B84="","",MAX(0,'Settings'!$B$3-$B84)))</f>
        <v/>
      </c>
      <c r="L84" s="11">
        <f>IF($A84="","",IF(OR($H84="Paused",AND($B84&lt;&gt;"",'Settings'!$B$3-$B84&lt;=14)),0,IF($E84/12&gt;=0.75,IF(1-($D84/4)/($E84/12)&gt;=0.3,ROUND(30*(1-($D84/4)/($E84/12)),0),0),0)))</f>
        <v/>
      </c>
      <c r="M84" s="11">
        <f>IF($A84="","",IF(OR($H84="Paused",AND($B84&lt;&gt;"",'Settings'!$B$3-$B84&lt;=14)),0,IF($C84="",12,IF(MAX(0,'Settings'!$B$3-$C84)&lt;=7,0,IF(MAX(0,'Settings'!$B$3-$C84)&lt;=14,6,IF(MAX(0,'Settings'!$B$3-$C84)&lt;=21,12,IF(MAX(0,'Settings'!$B$3-$C84)&lt;=35,18,20)))))))</f>
        <v/>
      </c>
      <c r="N84" s="11">
        <f>IF($A84="","",IF(AND($H84&lt;&gt;"Paused",OR($B84="",'Settings'!$B$3-$B84&gt;14),$L84=0,IF($F84&gt;=2,1-$D84/$F84&gt;=0.5,FALSE)),10,0))</f>
        <v/>
      </c>
      <c r="O84" s="11">
        <f>IF($A84="","",MIN(16,$G84*8))</f>
        <v/>
      </c>
      <c r="P84" s="11">
        <f>IF($A84="","",IF($H84="Paused",14,IF($I84&gt;0,6,0)))</f>
        <v/>
      </c>
      <c r="Q84" s="11">
        <f>IF($A84="","",IF($H84="Ended",30,0))</f>
        <v/>
      </c>
      <c r="R84" s="11">
        <f>IF($A84="","",MIN(15,$J84*8))</f>
        <v/>
      </c>
      <c r="S84" s="11">
        <f>IF($A84="","",IF(AND($B84&lt;&gt;"",$K84&lt;90,SUM($L84:$N84)&gt;0),ROUND(0.25*SUM($L84:$N84),0),0))</f>
        <v/>
      </c>
      <c r="T84" s="11">
        <f>IF($A84="","",MIN(100,SUM($L84:$S84)))</f>
        <v/>
      </c>
      <c r="U84" s="12">
        <f>IF($A84="","",IF($T84&lt;25,"Safe",IF($T84&lt;50,"Watch","At-risk")))</f>
        <v/>
      </c>
      <c r="V84" s="12">
        <f>IF($A84="","",IF($T84=0,"—",INDEX($L$1:$S$1,1,MATCH(MAX($L84:$S84),$L84:$S84,0))))</f>
        <v/>
      </c>
    </row>
    <row r="85">
      <c r="A85" s="13" t="n"/>
      <c r="B85" s="9" t="n"/>
      <c r="C85" s="9" t="n"/>
      <c r="D85" s="10" t="n"/>
      <c r="E85" s="10" t="n"/>
      <c r="F85" s="10" t="n"/>
      <c r="G85" s="10" t="n"/>
      <c r="H85" s="13" t="n"/>
      <c r="I85" s="10" t="n"/>
      <c r="J85" s="10" t="n"/>
      <c r="K85" s="11">
        <f>IF($A85="","",IF($B85="","",MAX(0,'Settings'!$B$3-$B85)))</f>
        <v/>
      </c>
      <c r="L85" s="11">
        <f>IF($A85="","",IF(OR($H85="Paused",AND($B85&lt;&gt;"",'Settings'!$B$3-$B85&lt;=14)),0,IF($E85/12&gt;=0.75,IF(1-($D85/4)/($E85/12)&gt;=0.3,ROUND(30*(1-($D85/4)/($E85/12)),0),0),0)))</f>
        <v/>
      </c>
      <c r="M85" s="11">
        <f>IF($A85="","",IF(OR($H85="Paused",AND($B85&lt;&gt;"",'Settings'!$B$3-$B85&lt;=14)),0,IF($C85="",12,IF(MAX(0,'Settings'!$B$3-$C85)&lt;=7,0,IF(MAX(0,'Settings'!$B$3-$C85)&lt;=14,6,IF(MAX(0,'Settings'!$B$3-$C85)&lt;=21,12,IF(MAX(0,'Settings'!$B$3-$C85)&lt;=35,18,20)))))))</f>
        <v/>
      </c>
      <c r="N85" s="11">
        <f>IF($A85="","",IF(AND($H85&lt;&gt;"Paused",OR($B85="",'Settings'!$B$3-$B85&gt;14),$L85=0,IF($F85&gt;=2,1-$D85/$F85&gt;=0.5,FALSE)),10,0))</f>
        <v/>
      </c>
      <c r="O85" s="11">
        <f>IF($A85="","",MIN(16,$G85*8))</f>
        <v/>
      </c>
      <c r="P85" s="11">
        <f>IF($A85="","",IF($H85="Paused",14,IF($I85&gt;0,6,0)))</f>
        <v/>
      </c>
      <c r="Q85" s="11">
        <f>IF($A85="","",IF($H85="Ended",30,0))</f>
        <v/>
      </c>
      <c r="R85" s="11">
        <f>IF($A85="","",MIN(15,$J85*8))</f>
        <v/>
      </c>
      <c r="S85" s="11">
        <f>IF($A85="","",IF(AND($B85&lt;&gt;"",$K85&lt;90,SUM($L85:$N85)&gt;0),ROUND(0.25*SUM($L85:$N85),0),0))</f>
        <v/>
      </c>
      <c r="T85" s="11">
        <f>IF($A85="","",MIN(100,SUM($L85:$S85)))</f>
        <v/>
      </c>
      <c r="U85" s="12">
        <f>IF($A85="","",IF($T85&lt;25,"Safe",IF($T85&lt;50,"Watch","At-risk")))</f>
        <v/>
      </c>
      <c r="V85" s="12">
        <f>IF($A85="","",IF($T85=0,"—",INDEX($L$1:$S$1,1,MATCH(MAX($L85:$S85),$L85:$S85,0))))</f>
        <v/>
      </c>
    </row>
    <row r="86">
      <c r="A86" s="13" t="n"/>
      <c r="B86" s="9" t="n"/>
      <c r="C86" s="9" t="n"/>
      <c r="D86" s="10" t="n"/>
      <c r="E86" s="10" t="n"/>
      <c r="F86" s="10" t="n"/>
      <c r="G86" s="10" t="n"/>
      <c r="H86" s="13" t="n"/>
      <c r="I86" s="10" t="n"/>
      <c r="J86" s="10" t="n"/>
      <c r="K86" s="11">
        <f>IF($A86="","",IF($B86="","",MAX(0,'Settings'!$B$3-$B86)))</f>
        <v/>
      </c>
      <c r="L86" s="11">
        <f>IF($A86="","",IF(OR($H86="Paused",AND($B86&lt;&gt;"",'Settings'!$B$3-$B86&lt;=14)),0,IF($E86/12&gt;=0.75,IF(1-($D86/4)/($E86/12)&gt;=0.3,ROUND(30*(1-($D86/4)/($E86/12)),0),0),0)))</f>
        <v/>
      </c>
      <c r="M86" s="11">
        <f>IF($A86="","",IF(OR($H86="Paused",AND($B86&lt;&gt;"",'Settings'!$B$3-$B86&lt;=14)),0,IF($C86="",12,IF(MAX(0,'Settings'!$B$3-$C86)&lt;=7,0,IF(MAX(0,'Settings'!$B$3-$C86)&lt;=14,6,IF(MAX(0,'Settings'!$B$3-$C86)&lt;=21,12,IF(MAX(0,'Settings'!$B$3-$C86)&lt;=35,18,20)))))))</f>
        <v/>
      </c>
      <c r="N86" s="11">
        <f>IF($A86="","",IF(AND($H86&lt;&gt;"Paused",OR($B86="",'Settings'!$B$3-$B86&gt;14),$L86=0,IF($F86&gt;=2,1-$D86/$F86&gt;=0.5,FALSE)),10,0))</f>
        <v/>
      </c>
      <c r="O86" s="11">
        <f>IF($A86="","",MIN(16,$G86*8))</f>
        <v/>
      </c>
      <c r="P86" s="11">
        <f>IF($A86="","",IF($H86="Paused",14,IF($I86&gt;0,6,0)))</f>
        <v/>
      </c>
      <c r="Q86" s="11">
        <f>IF($A86="","",IF($H86="Ended",30,0))</f>
        <v/>
      </c>
      <c r="R86" s="11">
        <f>IF($A86="","",MIN(15,$J86*8))</f>
        <v/>
      </c>
      <c r="S86" s="11">
        <f>IF($A86="","",IF(AND($B86&lt;&gt;"",$K86&lt;90,SUM($L86:$N86)&gt;0),ROUND(0.25*SUM($L86:$N86),0),0))</f>
        <v/>
      </c>
      <c r="T86" s="11">
        <f>IF($A86="","",MIN(100,SUM($L86:$S86)))</f>
        <v/>
      </c>
      <c r="U86" s="12">
        <f>IF($A86="","",IF($T86&lt;25,"Safe",IF($T86&lt;50,"Watch","At-risk")))</f>
        <v/>
      </c>
      <c r="V86" s="12">
        <f>IF($A86="","",IF($T86=0,"—",INDEX($L$1:$S$1,1,MATCH(MAX($L86:$S86),$L86:$S86,0))))</f>
        <v/>
      </c>
    </row>
    <row r="87">
      <c r="A87" s="13" t="n"/>
      <c r="B87" s="9" t="n"/>
      <c r="C87" s="9" t="n"/>
      <c r="D87" s="10" t="n"/>
      <c r="E87" s="10" t="n"/>
      <c r="F87" s="10" t="n"/>
      <c r="G87" s="10" t="n"/>
      <c r="H87" s="13" t="n"/>
      <c r="I87" s="10" t="n"/>
      <c r="J87" s="10" t="n"/>
      <c r="K87" s="11">
        <f>IF($A87="","",IF($B87="","",MAX(0,'Settings'!$B$3-$B87)))</f>
        <v/>
      </c>
      <c r="L87" s="11">
        <f>IF($A87="","",IF(OR($H87="Paused",AND($B87&lt;&gt;"",'Settings'!$B$3-$B87&lt;=14)),0,IF($E87/12&gt;=0.75,IF(1-($D87/4)/($E87/12)&gt;=0.3,ROUND(30*(1-($D87/4)/($E87/12)),0),0),0)))</f>
        <v/>
      </c>
      <c r="M87" s="11">
        <f>IF($A87="","",IF(OR($H87="Paused",AND($B87&lt;&gt;"",'Settings'!$B$3-$B87&lt;=14)),0,IF($C87="",12,IF(MAX(0,'Settings'!$B$3-$C87)&lt;=7,0,IF(MAX(0,'Settings'!$B$3-$C87)&lt;=14,6,IF(MAX(0,'Settings'!$B$3-$C87)&lt;=21,12,IF(MAX(0,'Settings'!$B$3-$C87)&lt;=35,18,20)))))))</f>
        <v/>
      </c>
      <c r="N87" s="11">
        <f>IF($A87="","",IF(AND($H87&lt;&gt;"Paused",OR($B87="",'Settings'!$B$3-$B87&gt;14),$L87=0,IF($F87&gt;=2,1-$D87/$F87&gt;=0.5,FALSE)),10,0))</f>
        <v/>
      </c>
      <c r="O87" s="11">
        <f>IF($A87="","",MIN(16,$G87*8))</f>
        <v/>
      </c>
      <c r="P87" s="11">
        <f>IF($A87="","",IF($H87="Paused",14,IF($I87&gt;0,6,0)))</f>
        <v/>
      </c>
      <c r="Q87" s="11">
        <f>IF($A87="","",IF($H87="Ended",30,0))</f>
        <v/>
      </c>
      <c r="R87" s="11">
        <f>IF($A87="","",MIN(15,$J87*8))</f>
        <v/>
      </c>
      <c r="S87" s="11">
        <f>IF($A87="","",IF(AND($B87&lt;&gt;"",$K87&lt;90,SUM($L87:$N87)&gt;0),ROUND(0.25*SUM($L87:$N87),0),0))</f>
        <v/>
      </c>
      <c r="T87" s="11">
        <f>IF($A87="","",MIN(100,SUM($L87:$S87)))</f>
        <v/>
      </c>
      <c r="U87" s="12">
        <f>IF($A87="","",IF($T87&lt;25,"Safe",IF($T87&lt;50,"Watch","At-risk")))</f>
        <v/>
      </c>
      <c r="V87" s="12">
        <f>IF($A87="","",IF($T87=0,"—",INDEX($L$1:$S$1,1,MATCH(MAX($L87:$S87),$L87:$S87,0))))</f>
        <v/>
      </c>
    </row>
    <row r="88">
      <c r="A88" s="13" t="n"/>
      <c r="B88" s="9" t="n"/>
      <c r="C88" s="9" t="n"/>
      <c r="D88" s="10" t="n"/>
      <c r="E88" s="10" t="n"/>
      <c r="F88" s="10" t="n"/>
      <c r="G88" s="10" t="n"/>
      <c r="H88" s="13" t="n"/>
      <c r="I88" s="10" t="n"/>
      <c r="J88" s="10" t="n"/>
      <c r="K88" s="11">
        <f>IF($A88="","",IF($B88="","",MAX(0,'Settings'!$B$3-$B88)))</f>
        <v/>
      </c>
      <c r="L88" s="11">
        <f>IF($A88="","",IF(OR($H88="Paused",AND($B88&lt;&gt;"",'Settings'!$B$3-$B88&lt;=14)),0,IF($E88/12&gt;=0.75,IF(1-($D88/4)/($E88/12)&gt;=0.3,ROUND(30*(1-($D88/4)/($E88/12)),0),0),0)))</f>
        <v/>
      </c>
      <c r="M88" s="11">
        <f>IF($A88="","",IF(OR($H88="Paused",AND($B88&lt;&gt;"",'Settings'!$B$3-$B88&lt;=14)),0,IF($C88="",12,IF(MAX(0,'Settings'!$B$3-$C88)&lt;=7,0,IF(MAX(0,'Settings'!$B$3-$C88)&lt;=14,6,IF(MAX(0,'Settings'!$B$3-$C88)&lt;=21,12,IF(MAX(0,'Settings'!$B$3-$C88)&lt;=35,18,20)))))))</f>
        <v/>
      </c>
      <c r="N88" s="11">
        <f>IF($A88="","",IF(AND($H88&lt;&gt;"Paused",OR($B88="",'Settings'!$B$3-$B88&gt;14),$L88=0,IF($F88&gt;=2,1-$D88/$F88&gt;=0.5,FALSE)),10,0))</f>
        <v/>
      </c>
      <c r="O88" s="11">
        <f>IF($A88="","",MIN(16,$G88*8))</f>
        <v/>
      </c>
      <c r="P88" s="11">
        <f>IF($A88="","",IF($H88="Paused",14,IF($I88&gt;0,6,0)))</f>
        <v/>
      </c>
      <c r="Q88" s="11">
        <f>IF($A88="","",IF($H88="Ended",30,0))</f>
        <v/>
      </c>
      <c r="R88" s="11">
        <f>IF($A88="","",MIN(15,$J88*8))</f>
        <v/>
      </c>
      <c r="S88" s="11">
        <f>IF($A88="","",IF(AND($B88&lt;&gt;"",$K88&lt;90,SUM($L88:$N88)&gt;0),ROUND(0.25*SUM($L88:$N88),0),0))</f>
        <v/>
      </c>
      <c r="T88" s="11">
        <f>IF($A88="","",MIN(100,SUM($L88:$S88)))</f>
        <v/>
      </c>
      <c r="U88" s="12">
        <f>IF($A88="","",IF($T88&lt;25,"Safe",IF($T88&lt;50,"Watch","At-risk")))</f>
        <v/>
      </c>
      <c r="V88" s="12">
        <f>IF($A88="","",IF($T88=0,"—",INDEX($L$1:$S$1,1,MATCH(MAX($L88:$S88),$L88:$S88,0))))</f>
        <v/>
      </c>
    </row>
    <row r="89">
      <c r="A89" s="13" t="n"/>
      <c r="B89" s="9" t="n"/>
      <c r="C89" s="9" t="n"/>
      <c r="D89" s="10" t="n"/>
      <c r="E89" s="10" t="n"/>
      <c r="F89" s="10" t="n"/>
      <c r="G89" s="10" t="n"/>
      <c r="H89" s="13" t="n"/>
      <c r="I89" s="10" t="n"/>
      <c r="J89" s="10" t="n"/>
      <c r="K89" s="11">
        <f>IF($A89="","",IF($B89="","",MAX(0,'Settings'!$B$3-$B89)))</f>
        <v/>
      </c>
      <c r="L89" s="11">
        <f>IF($A89="","",IF(OR($H89="Paused",AND($B89&lt;&gt;"",'Settings'!$B$3-$B89&lt;=14)),0,IF($E89/12&gt;=0.75,IF(1-($D89/4)/($E89/12)&gt;=0.3,ROUND(30*(1-($D89/4)/($E89/12)),0),0),0)))</f>
        <v/>
      </c>
      <c r="M89" s="11">
        <f>IF($A89="","",IF(OR($H89="Paused",AND($B89&lt;&gt;"",'Settings'!$B$3-$B89&lt;=14)),0,IF($C89="",12,IF(MAX(0,'Settings'!$B$3-$C89)&lt;=7,0,IF(MAX(0,'Settings'!$B$3-$C89)&lt;=14,6,IF(MAX(0,'Settings'!$B$3-$C89)&lt;=21,12,IF(MAX(0,'Settings'!$B$3-$C89)&lt;=35,18,20)))))))</f>
        <v/>
      </c>
      <c r="N89" s="11">
        <f>IF($A89="","",IF(AND($H89&lt;&gt;"Paused",OR($B89="",'Settings'!$B$3-$B89&gt;14),$L89=0,IF($F89&gt;=2,1-$D89/$F89&gt;=0.5,FALSE)),10,0))</f>
        <v/>
      </c>
      <c r="O89" s="11">
        <f>IF($A89="","",MIN(16,$G89*8))</f>
        <v/>
      </c>
      <c r="P89" s="11">
        <f>IF($A89="","",IF($H89="Paused",14,IF($I89&gt;0,6,0)))</f>
        <v/>
      </c>
      <c r="Q89" s="11">
        <f>IF($A89="","",IF($H89="Ended",30,0))</f>
        <v/>
      </c>
      <c r="R89" s="11">
        <f>IF($A89="","",MIN(15,$J89*8))</f>
        <v/>
      </c>
      <c r="S89" s="11">
        <f>IF($A89="","",IF(AND($B89&lt;&gt;"",$K89&lt;90,SUM($L89:$N89)&gt;0),ROUND(0.25*SUM($L89:$N89),0),0))</f>
        <v/>
      </c>
      <c r="T89" s="11">
        <f>IF($A89="","",MIN(100,SUM($L89:$S89)))</f>
        <v/>
      </c>
      <c r="U89" s="12">
        <f>IF($A89="","",IF($T89&lt;25,"Safe",IF($T89&lt;50,"Watch","At-risk")))</f>
        <v/>
      </c>
      <c r="V89" s="12">
        <f>IF($A89="","",IF($T89=0,"—",INDEX($L$1:$S$1,1,MATCH(MAX($L89:$S89),$L89:$S89,0))))</f>
        <v/>
      </c>
    </row>
    <row r="90">
      <c r="A90" s="13" t="n"/>
      <c r="B90" s="9" t="n"/>
      <c r="C90" s="9" t="n"/>
      <c r="D90" s="10" t="n"/>
      <c r="E90" s="10" t="n"/>
      <c r="F90" s="10" t="n"/>
      <c r="G90" s="10" t="n"/>
      <c r="H90" s="13" t="n"/>
      <c r="I90" s="10" t="n"/>
      <c r="J90" s="10" t="n"/>
      <c r="K90" s="11">
        <f>IF($A90="","",IF($B90="","",MAX(0,'Settings'!$B$3-$B90)))</f>
        <v/>
      </c>
      <c r="L90" s="11">
        <f>IF($A90="","",IF(OR($H90="Paused",AND($B90&lt;&gt;"",'Settings'!$B$3-$B90&lt;=14)),0,IF($E90/12&gt;=0.75,IF(1-($D90/4)/($E90/12)&gt;=0.3,ROUND(30*(1-($D90/4)/($E90/12)),0),0),0)))</f>
        <v/>
      </c>
      <c r="M90" s="11">
        <f>IF($A90="","",IF(OR($H90="Paused",AND($B90&lt;&gt;"",'Settings'!$B$3-$B90&lt;=14)),0,IF($C90="",12,IF(MAX(0,'Settings'!$B$3-$C90)&lt;=7,0,IF(MAX(0,'Settings'!$B$3-$C90)&lt;=14,6,IF(MAX(0,'Settings'!$B$3-$C90)&lt;=21,12,IF(MAX(0,'Settings'!$B$3-$C90)&lt;=35,18,20)))))))</f>
        <v/>
      </c>
      <c r="N90" s="11">
        <f>IF($A90="","",IF(AND($H90&lt;&gt;"Paused",OR($B90="",'Settings'!$B$3-$B90&gt;14),$L90=0,IF($F90&gt;=2,1-$D90/$F90&gt;=0.5,FALSE)),10,0))</f>
        <v/>
      </c>
      <c r="O90" s="11">
        <f>IF($A90="","",MIN(16,$G90*8))</f>
        <v/>
      </c>
      <c r="P90" s="11">
        <f>IF($A90="","",IF($H90="Paused",14,IF($I90&gt;0,6,0)))</f>
        <v/>
      </c>
      <c r="Q90" s="11">
        <f>IF($A90="","",IF($H90="Ended",30,0))</f>
        <v/>
      </c>
      <c r="R90" s="11">
        <f>IF($A90="","",MIN(15,$J90*8))</f>
        <v/>
      </c>
      <c r="S90" s="11">
        <f>IF($A90="","",IF(AND($B90&lt;&gt;"",$K90&lt;90,SUM($L90:$N90)&gt;0),ROUND(0.25*SUM($L90:$N90),0),0))</f>
        <v/>
      </c>
      <c r="T90" s="11">
        <f>IF($A90="","",MIN(100,SUM($L90:$S90)))</f>
        <v/>
      </c>
      <c r="U90" s="12">
        <f>IF($A90="","",IF($T90&lt;25,"Safe",IF($T90&lt;50,"Watch","At-risk")))</f>
        <v/>
      </c>
      <c r="V90" s="12">
        <f>IF($A90="","",IF($T90=0,"—",INDEX($L$1:$S$1,1,MATCH(MAX($L90:$S90),$L90:$S90,0))))</f>
        <v/>
      </c>
    </row>
    <row r="91">
      <c r="A91" s="13" t="n"/>
      <c r="B91" s="9" t="n"/>
      <c r="C91" s="9" t="n"/>
      <c r="D91" s="10" t="n"/>
      <c r="E91" s="10" t="n"/>
      <c r="F91" s="10" t="n"/>
      <c r="G91" s="10" t="n"/>
      <c r="H91" s="13" t="n"/>
      <c r="I91" s="10" t="n"/>
      <c r="J91" s="10" t="n"/>
      <c r="K91" s="11">
        <f>IF($A91="","",IF($B91="","",MAX(0,'Settings'!$B$3-$B91)))</f>
        <v/>
      </c>
      <c r="L91" s="11">
        <f>IF($A91="","",IF(OR($H91="Paused",AND($B91&lt;&gt;"",'Settings'!$B$3-$B91&lt;=14)),0,IF($E91/12&gt;=0.75,IF(1-($D91/4)/($E91/12)&gt;=0.3,ROUND(30*(1-($D91/4)/($E91/12)),0),0),0)))</f>
        <v/>
      </c>
      <c r="M91" s="11">
        <f>IF($A91="","",IF(OR($H91="Paused",AND($B91&lt;&gt;"",'Settings'!$B$3-$B91&lt;=14)),0,IF($C91="",12,IF(MAX(0,'Settings'!$B$3-$C91)&lt;=7,0,IF(MAX(0,'Settings'!$B$3-$C91)&lt;=14,6,IF(MAX(0,'Settings'!$B$3-$C91)&lt;=21,12,IF(MAX(0,'Settings'!$B$3-$C91)&lt;=35,18,20)))))))</f>
        <v/>
      </c>
      <c r="N91" s="11">
        <f>IF($A91="","",IF(AND($H91&lt;&gt;"Paused",OR($B91="",'Settings'!$B$3-$B91&gt;14),$L91=0,IF($F91&gt;=2,1-$D91/$F91&gt;=0.5,FALSE)),10,0))</f>
        <v/>
      </c>
      <c r="O91" s="11">
        <f>IF($A91="","",MIN(16,$G91*8))</f>
        <v/>
      </c>
      <c r="P91" s="11">
        <f>IF($A91="","",IF($H91="Paused",14,IF($I91&gt;0,6,0)))</f>
        <v/>
      </c>
      <c r="Q91" s="11">
        <f>IF($A91="","",IF($H91="Ended",30,0))</f>
        <v/>
      </c>
      <c r="R91" s="11">
        <f>IF($A91="","",MIN(15,$J91*8))</f>
        <v/>
      </c>
      <c r="S91" s="11">
        <f>IF($A91="","",IF(AND($B91&lt;&gt;"",$K91&lt;90,SUM($L91:$N91)&gt;0),ROUND(0.25*SUM($L91:$N91),0),0))</f>
        <v/>
      </c>
      <c r="T91" s="11">
        <f>IF($A91="","",MIN(100,SUM($L91:$S91)))</f>
        <v/>
      </c>
      <c r="U91" s="12">
        <f>IF($A91="","",IF($T91&lt;25,"Safe",IF($T91&lt;50,"Watch","At-risk")))</f>
        <v/>
      </c>
      <c r="V91" s="12">
        <f>IF($A91="","",IF($T91=0,"—",INDEX($L$1:$S$1,1,MATCH(MAX($L91:$S91),$L91:$S91,0))))</f>
        <v/>
      </c>
    </row>
    <row r="92">
      <c r="A92" s="13" t="n"/>
      <c r="B92" s="9" t="n"/>
      <c r="C92" s="9" t="n"/>
      <c r="D92" s="10" t="n"/>
      <c r="E92" s="10" t="n"/>
      <c r="F92" s="10" t="n"/>
      <c r="G92" s="10" t="n"/>
      <c r="H92" s="13" t="n"/>
      <c r="I92" s="10" t="n"/>
      <c r="J92" s="10" t="n"/>
      <c r="K92" s="11">
        <f>IF($A92="","",IF($B92="","",MAX(0,'Settings'!$B$3-$B92)))</f>
        <v/>
      </c>
      <c r="L92" s="11">
        <f>IF($A92="","",IF(OR($H92="Paused",AND($B92&lt;&gt;"",'Settings'!$B$3-$B92&lt;=14)),0,IF($E92/12&gt;=0.75,IF(1-($D92/4)/($E92/12)&gt;=0.3,ROUND(30*(1-($D92/4)/($E92/12)),0),0),0)))</f>
        <v/>
      </c>
      <c r="M92" s="11">
        <f>IF($A92="","",IF(OR($H92="Paused",AND($B92&lt;&gt;"",'Settings'!$B$3-$B92&lt;=14)),0,IF($C92="",12,IF(MAX(0,'Settings'!$B$3-$C92)&lt;=7,0,IF(MAX(0,'Settings'!$B$3-$C92)&lt;=14,6,IF(MAX(0,'Settings'!$B$3-$C92)&lt;=21,12,IF(MAX(0,'Settings'!$B$3-$C92)&lt;=35,18,20)))))))</f>
        <v/>
      </c>
      <c r="N92" s="11">
        <f>IF($A92="","",IF(AND($H92&lt;&gt;"Paused",OR($B92="",'Settings'!$B$3-$B92&gt;14),$L92=0,IF($F92&gt;=2,1-$D92/$F92&gt;=0.5,FALSE)),10,0))</f>
        <v/>
      </c>
      <c r="O92" s="11">
        <f>IF($A92="","",MIN(16,$G92*8))</f>
        <v/>
      </c>
      <c r="P92" s="11">
        <f>IF($A92="","",IF($H92="Paused",14,IF($I92&gt;0,6,0)))</f>
        <v/>
      </c>
      <c r="Q92" s="11">
        <f>IF($A92="","",IF($H92="Ended",30,0))</f>
        <v/>
      </c>
      <c r="R92" s="11">
        <f>IF($A92="","",MIN(15,$J92*8))</f>
        <v/>
      </c>
      <c r="S92" s="11">
        <f>IF($A92="","",IF(AND($B92&lt;&gt;"",$K92&lt;90,SUM($L92:$N92)&gt;0),ROUND(0.25*SUM($L92:$N92),0),0))</f>
        <v/>
      </c>
      <c r="T92" s="11">
        <f>IF($A92="","",MIN(100,SUM($L92:$S92)))</f>
        <v/>
      </c>
      <c r="U92" s="12">
        <f>IF($A92="","",IF($T92&lt;25,"Safe",IF($T92&lt;50,"Watch","At-risk")))</f>
        <v/>
      </c>
      <c r="V92" s="12">
        <f>IF($A92="","",IF($T92=0,"—",INDEX($L$1:$S$1,1,MATCH(MAX($L92:$S92),$L92:$S92,0))))</f>
        <v/>
      </c>
    </row>
    <row r="93">
      <c r="A93" s="13" t="n"/>
      <c r="B93" s="9" t="n"/>
      <c r="C93" s="9" t="n"/>
      <c r="D93" s="10" t="n"/>
      <c r="E93" s="10" t="n"/>
      <c r="F93" s="10" t="n"/>
      <c r="G93" s="10" t="n"/>
      <c r="H93" s="13" t="n"/>
      <c r="I93" s="10" t="n"/>
      <c r="J93" s="10" t="n"/>
      <c r="K93" s="11">
        <f>IF($A93="","",IF($B93="","",MAX(0,'Settings'!$B$3-$B93)))</f>
        <v/>
      </c>
      <c r="L93" s="11">
        <f>IF($A93="","",IF(OR($H93="Paused",AND($B93&lt;&gt;"",'Settings'!$B$3-$B93&lt;=14)),0,IF($E93/12&gt;=0.75,IF(1-($D93/4)/($E93/12)&gt;=0.3,ROUND(30*(1-($D93/4)/($E93/12)),0),0),0)))</f>
        <v/>
      </c>
      <c r="M93" s="11">
        <f>IF($A93="","",IF(OR($H93="Paused",AND($B93&lt;&gt;"",'Settings'!$B$3-$B93&lt;=14)),0,IF($C93="",12,IF(MAX(0,'Settings'!$B$3-$C93)&lt;=7,0,IF(MAX(0,'Settings'!$B$3-$C93)&lt;=14,6,IF(MAX(0,'Settings'!$B$3-$C93)&lt;=21,12,IF(MAX(0,'Settings'!$B$3-$C93)&lt;=35,18,20)))))))</f>
        <v/>
      </c>
      <c r="N93" s="11">
        <f>IF($A93="","",IF(AND($H93&lt;&gt;"Paused",OR($B93="",'Settings'!$B$3-$B93&gt;14),$L93=0,IF($F93&gt;=2,1-$D93/$F93&gt;=0.5,FALSE)),10,0))</f>
        <v/>
      </c>
      <c r="O93" s="11">
        <f>IF($A93="","",MIN(16,$G93*8))</f>
        <v/>
      </c>
      <c r="P93" s="11">
        <f>IF($A93="","",IF($H93="Paused",14,IF($I93&gt;0,6,0)))</f>
        <v/>
      </c>
      <c r="Q93" s="11">
        <f>IF($A93="","",IF($H93="Ended",30,0))</f>
        <v/>
      </c>
      <c r="R93" s="11">
        <f>IF($A93="","",MIN(15,$J93*8))</f>
        <v/>
      </c>
      <c r="S93" s="11">
        <f>IF($A93="","",IF(AND($B93&lt;&gt;"",$K93&lt;90,SUM($L93:$N93)&gt;0),ROUND(0.25*SUM($L93:$N93),0),0))</f>
        <v/>
      </c>
      <c r="T93" s="11">
        <f>IF($A93="","",MIN(100,SUM($L93:$S93)))</f>
        <v/>
      </c>
      <c r="U93" s="12">
        <f>IF($A93="","",IF($T93&lt;25,"Safe",IF($T93&lt;50,"Watch","At-risk")))</f>
        <v/>
      </c>
      <c r="V93" s="12">
        <f>IF($A93="","",IF($T93=0,"—",INDEX($L$1:$S$1,1,MATCH(MAX($L93:$S93),$L93:$S93,0))))</f>
        <v/>
      </c>
    </row>
    <row r="94">
      <c r="A94" s="13" t="n"/>
      <c r="B94" s="9" t="n"/>
      <c r="C94" s="9" t="n"/>
      <c r="D94" s="10" t="n"/>
      <c r="E94" s="10" t="n"/>
      <c r="F94" s="10" t="n"/>
      <c r="G94" s="10" t="n"/>
      <c r="H94" s="13" t="n"/>
      <c r="I94" s="10" t="n"/>
      <c r="J94" s="10" t="n"/>
      <c r="K94" s="11">
        <f>IF($A94="","",IF($B94="","",MAX(0,'Settings'!$B$3-$B94)))</f>
        <v/>
      </c>
      <c r="L94" s="11">
        <f>IF($A94="","",IF(OR($H94="Paused",AND($B94&lt;&gt;"",'Settings'!$B$3-$B94&lt;=14)),0,IF($E94/12&gt;=0.75,IF(1-($D94/4)/($E94/12)&gt;=0.3,ROUND(30*(1-($D94/4)/($E94/12)),0),0),0)))</f>
        <v/>
      </c>
      <c r="M94" s="11">
        <f>IF($A94="","",IF(OR($H94="Paused",AND($B94&lt;&gt;"",'Settings'!$B$3-$B94&lt;=14)),0,IF($C94="",12,IF(MAX(0,'Settings'!$B$3-$C94)&lt;=7,0,IF(MAX(0,'Settings'!$B$3-$C94)&lt;=14,6,IF(MAX(0,'Settings'!$B$3-$C94)&lt;=21,12,IF(MAX(0,'Settings'!$B$3-$C94)&lt;=35,18,20)))))))</f>
        <v/>
      </c>
      <c r="N94" s="11">
        <f>IF($A94="","",IF(AND($H94&lt;&gt;"Paused",OR($B94="",'Settings'!$B$3-$B94&gt;14),$L94=0,IF($F94&gt;=2,1-$D94/$F94&gt;=0.5,FALSE)),10,0))</f>
        <v/>
      </c>
      <c r="O94" s="11">
        <f>IF($A94="","",MIN(16,$G94*8))</f>
        <v/>
      </c>
      <c r="P94" s="11">
        <f>IF($A94="","",IF($H94="Paused",14,IF($I94&gt;0,6,0)))</f>
        <v/>
      </c>
      <c r="Q94" s="11">
        <f>IF($A94="","",IF($H94="Ended",30,0))</f>
        <v/>
      </c>
      <c r="R94" s="11">
        <f>IF($A94="","",MIN(15,$J94*8))</f>
        <v/>
      </c>
      <c r="S94" s="11">
        <f>IF($A94="","",IF(AND($B94&lt;&gt;"",$K94&lt;90,SUM($L94:$N94)&gt;0),ROUND(0.25*SUM($L94:$N94),0),0))</f>
        <v/>
      </c>
      <c r="T94" s="11">
        <f>IF($A94="","",MIN(100,SUM($L94:$S94)))</f>
        <v/>
      </c>
      <c r="U94" s="12">
        <f>IF($A94="","",IF($T94&lt;25,"Safe",IF($T94&lt;50,"Watch","At-risk")))</f>
        <v/>
      </c>
      <c r="V94" s="12">
        <f>IF($A94="","",IF($T94=0,"—",INDEX($L$1:$S$1,1,MATCH(MAX($L94:$S94),$L94:$S94,0))))</f>
        <v/>
      </c>
    </row>
    <row r="95">
      <c r="A95" s="13" t="n"/>
      <c r="B95" s="9" t="n"/>
      <c r="C95" s="9" t="n"/>
      <c r="D95" s="10" t="n"/>
      <c r="E95" s="10" t="n"/>
      <c r="F95" s="10" t="n"/>
      <c r="G95" s="10" t="n"/>
      <c r="H95" s="13" t="n"/>
      <c r="I95" s="10" t="n"/>
      <c r="J95" s="10" t="n"/>
      <c r="K95" s="11">
        <f>IF($A95="","",IF($B95="","",MAX(0,'Settings'!$B$3-$B95)))</f>
        <v/>
      </c>
      <c r="L95" s="11">
        <f>IF($A95="","",IF(OR($H95="Paused",AND($B95&lt;&gt;"",'Settings'!$B$3-$B95&lt;=14)),0,IF($E95/12&gt;=0.75,IF(1-($D95/4)/($E95/12)&gt;=0.3,ROUND(30*(1-($D95/4)/($E95/12)),0),0),0)))</f>
        <v/>
      </c>
      <c r="M95" s="11">
        <f>IF($A95="","",IF(OR($H95="Paused",AND($B95&lt;&gt;"",'Settings'!$B$3-$B95&lt;=14)),0,IF($C95="",12,IF(MAX(0,'Settings'!$B$3-$C95)&lt;=7,0,IF(MAX(0,'Settings'!$B$3-$C95)&lt;=14,6,IF(MAX(0,'Settings'!$B$3-$C95)&lt;=21,12,IF(MAX(0,'Settings'!$B$3-$C95)&lt;=35,18,20)))))))</f>
        <v/>
      </c>
      <c r="N95" s="11">
        <f>IF($A95="","",IF(AND($H95&lt;&gt;"Paused",OR($B95="",'Settings'!$B$3-$B95&gt;14),$L95=0,IF($F95&gt;=2,1-$D95/$F95&gt;=0.5,FALSE)),10,0))</f>
        <v/>
      </c>
      <c r="O95" s="11">
        <f>IF($A95="","",MIN(16,$G95*8))</f>
        <v/>
      </c>
      <c r="P95" s="11">
        <f>IF($A95="","",IF($H95="Paused",14,IF($I95&gt;0,6,0)))</f>
        <v/>
      </c>
      <c r="Q95" s="11">
        <f>IF($A95="","",IF($H95="Ended",30,0))</f>
        <v/>
      </c>
      <c r="R95" s="11">
        <f>IF($A95="","",MIN(15,$J95*8))</f>
        <v/>
      </c>
      <c r="S95" s="11">
        <f>IF($A95="","",IF(AND($B95&lt;&gt;"",$K95&lt;90,SUM($L95:$N95)&gt;0),ROUND(0.25*SUM($L95:$N95),0),0))</f>
        <v/>
      </c>
      <c r="T95" s="11">
        <f>IF($A95="","",MIN(100,SUM($L95:$S95)))</f>
        <v/>
      </c>
      <c r="U95" s="12">
        <f>IF($A95="","",IF($T95&lt;25,"Safe",IF($T95&lt;50,"Watch","At-risk")))</f>
        <v/>
      </c>
      <c r="V95" s="12">
        <f>IF($A95="","",IF($T95=0,"—",INDEX($L$1:$S$1,1,MATCH(MAX($L95:$S95),$L95:$S95,0))))</f>
        <v/>
      </c>
    </row>
    <row r="96">
      <c r="A96" s="13" t="n"/>
      <c r="B96" s="9" t="n"/>
      <c r="C96" s="9" t="n"/>
      <c r="D96" s="10" t="n"/>
      <c r="E96" s="10" t="n"/>
      <c r="F96" s="10" t="n"/>
      <c r="G96" s="10" t="n"/>
      <c r="H96" s="13" t="n"/>
      <c r="I96" s="10" t="n"/>
      <c r="J96" s="10" t="n"/>
      <c r="K96" s="11">
        <f>IF($A96="","",IF($B96="","",MAX(0,'Settings'!$B$3-$B96)))</f>
        <v/>
      </c>
      <c r="L96" s="11">
        <f>IF($A96="","",IF(OR($H96="Paused",AND($B96&lt;&gt;"",'Settings'!$B$3-$B96&lt;=14)),0,IF($E96/12&gt;=0.75,IF(1-($D96/4)/($E96/12)&gt;=0.3,ROUND(30*(1-($D96/4)/($E96/12)),0),0),0)))</f>
        <v/>
      </c>
      <c r="M96" s="11">
        <f>IF($A96="","",IF(OR($H96="Paused",AND($B96&lt;&gt;"",'Settings'!$B$3-$B96&lt;=14)),0,IF($C96="",12,IF(MAX(0,'Settings'!$B$3-$C96)&lt;=7,0,IF(MAX(0,'Settings'!$B$3-$C96)&lt;=14,6,IF(MAX(0,'Settings'!$B$3-$C96)&lt;=21,12,IF(MAX(0,'Settings'!$B$3-$C96)&lt;=35,18,20)))))))</f>
        <v/>
      </c>
      <c r="N96" s="11">
        <f>IF($A96="","",IF(AND($H96&lt;&gt;"Paused",OR($B96="",'Settings'!$B$3-$B96&gt;14),$L96=0,IF($F96&gt;=2,1-$D96/$F96&gt;=0.5,FALSE)),10,0))</f>
        <v/>
      </c>
      <c r="O96" s="11">
        <f>IF($A96="","",MIN(16,$G96*8))</f>
        <v/>
      </c>
      <c r="P96" s="11">
        <f>IF($A96="","",IF($H96="Paused",14,IF($I96&gt;0,6,0)))</f>
        <v/>
      </c>
      <c r="Q96" s="11">
        <f>IF($A96="","",IF($H96="Ended",30,0))</f>
        <v/>
      </c>
      <c r="R96" s="11">
        <f>IF($A96="","",MIN(15,$J96*8))</f>
        <v/>
      </c>
      <c r="S96" s="11">
        <f>IF($A96="","",IF(AND($B96&lt;&gt;"",$K96&lt;90,SUM($L96:$N96)&gt;0),ROUND(0.25*SUM($L96:$N96),0),0))</f>
        <v/>
      </c>
      <c r="T96" s="11">
        <f>IF($A96="","",MIN(100,SUM($L96:$S96)))</f>
        <v/>
      </c>
      <c r="U96" s="12">
        <f>IF($A96="","",IF($T96&lt;25,"Safe",IF($T96&lt;50,"Watch","At-risk")))</f>
        <v/>
      </c>
      <c r="V96" s="12">
        <f>IF($A96="","",IF($T96=0,"—",INDEX($L$1:$S$1,1,MATCH(MAX($L96:$S96),$L96:$S96,0))))</f>
        <v/>
      </c>
    </row>
    <row r="97">
      <c r="A97" s="13" t="n"/>
      <c r="B97" s="9" t="n"/>
      <c r="C97" s="9" t="n"/>
      <c r="D97" s="10" t="n"/>
      <c r="E97" s="10" t="n"/>
      <c r="F97" s="10" t="n"/>
      <c r="G97" s="10" t="n"/>
      <c r="H97" s="13" t="n"/>
      <c r="I97" s="10" t="n"/>
      <c r="J97" s="10" t="n"/>
      <c r="K97" s="11">
        <f>IF($A97="","",IF($B97="","",MAX(0,'Settings'!$B$3-$B97)))</f>
        <v/>
      </c>
      <c r="L97" s="11">
        <f>IF($A97="","",IF(OR($H97="Paused",AND($B97&lt;&gt;"",'Settings'!$B$3-$B97&lt;=14)),0,IF($E97/12&gt;=0.75,IF(1-($D97/4)/($E97/12)&gt;=0.3,ROUND(30*(1-($D97/4)/($E97/12)),0),0),0)))</f>
        <v/>
      </c>
      <c r="M97" s="11">
        <f>IF($A97="","",IF(OR($H97="Paused",AND($B97&lt;&gt;"",'Settings'!$B$3-$B97&lt;=14)),0,IF($C97="",12,IF(MAX(0,'Settings'!$B$3-$C97)&lt;=7,0,IF(MAX(0,'Settings'!$B$3-$C97)&lt;=14,6,IF(MAX(0,'Settings'!$B$3-$C97)&lt;=21,12,IF(MAX(0,'Settings'!$B$3-$C97)&lt;=35,18,20)))))))</f>
        <v/>
      </c>
      <c r="N97" s="11">
        <f>IF($A97="","",IF(AND($H97&lt;&gt;"Paused",OR($B97="",'Settings'!$B$3-$B97&gt;14),$L97=0,IF($F97&gt;=2,1-$D97/$F97&gt;=0.5,FALSE)),10,0))</f>
        <v/>
      </c>
      <c r="O97" s="11">
        <f>IF($A97="","",MIN(16,$G97*8))</f>
        <v/>
      </c>
      <c r="P97" s="11">
        <f>IF($A97="","",IF($H97="Paused",14,IF($I97&gt;0,6,0)))</f>
        <v/>
      </c>
      <c r="Q97" s="11">
        <f>IF($A97="","",IF($H97="Ended",30,0))</f>
        <v/>
      </c>
      <c r="R97" s="11">
        <f>IF($A97="","",MIN(15,$J97*8))</f>
        <v/>
      </c>
      <c r="S97" s="11">
        <f>IF($A97="","",IF(AND($B97&lt;&gt;"",$K97&lt;90,SUM($L97:$N97)&gt;0),ROUND(0.25*SUM($L97:$N97),0),0))</f>
        <v/>
      </c>
      <c r="T97" s="11">
        <f>IF($A97="","",MIN(100,SUM($L97:$S97)))</f>
        <v/>
      </c>
      <c r="U97" s="12">
        <f>IF($A97="","",IF($T97&lt;25,"Safe",IF($T97&lt;50,"Watch","At-risk")))</f>
        <v/>
      </c>
      <c r="V97" s="12">
        <f>IF($A97="","",IF($T97=0,"—",INDEX($L$1:$S$1,1,MATCH(MAX($L97:$S97),$L97:$S97,0))))</f>
        <v/>
      </c>
    </row>
    <row r="98">
      <c r="A98" s="13" t="n"/>
      <c r="B98" s="9" t="n"/>
      <c r="C98" s="9" t="n"/>
      <c r="D98" s="10" t="n"/>
      <c r="E98" s="10" t="n"/>
      <c r="F98" s="10" t="n"/>
      <c r="G98" s="10" t="n"/>
      <c r="H98" s="13" t="n"/>
      <c r="I98" s="10" t="n"/>
      <c r="J98" s="10" t="n"/>
      <c r="K98" s="11">
        <f>IF($A98="","",IF($B98="","",MAX(0,'Settings'!$B$3-$B98)))</f>
        <v/>
      </c>
      <c r="L98" s="11">
        <f>IF($A98="","",IF(OR($H98="Paused",AND($B98&lt;&gt;"",'Settings'!$B$3-$B98&lt;=14)),0,IF($E98/12&gt;=0.75,IF(1-($D98/4)/($E98/12)&gt;=0.3,ROUND(30*(1-($D98/4)/($E98/12)),0),0),0)))</f>
        <v/>
      </c>
      <c r="M98" s="11">
        <f>IF($A98="","",IF(OR($H98="Paused",AND($B98&lt;&gt;"",'Settings'!$B$3-$B98&lt;=14)),0,IF($C98="",12,IF(MAX(0,'Settings'!$B$3-$C98)&lt;=7,0,IF(MAX(0,'Settings'!$B$3-$C98)&lt;=14,6,IF(MAX(0,'Settings'!$B$3-$C98)&lt;=21,12,IF(MAX(0,'Settings'!$B$3-$C98)&lt;=35,18,20)))))))</f>
        <v/>
      </c>
      <c r="N98" s="11">
        <f>IF($A98="","",IF(AND($H98&lt;&gt;"Paused",OR($B98="",'Settings'!$B$3-$B98&gt;14),$L98=0,IF($F98&gt;=2,1-$D98/$F98&gt;=0.5,FALSE)),10,0))</f>
        <v/>
      </c>
      <c r="O98" s="11">
        <f>IF($A98="","",MIN(16,$G98*8))</f>
        <v/>
      </c>
      <c r="P98" s="11">
        <f>IF($A98="","",IF($H98="Paused",14,IF($I98&gt;0,6,0)))</f>
        <v/>
      </c>
      <c r="Q98" s="11">
        <f>IF($A98="","",IF($H98="Ended",30,0))</f>
        <v/>
      </c>
      <c r="R98" s="11">
        <f>IF($A98="","",MIN(15,$J98*8))</f>
        <v/>
      </c>
      <c r="S98" s="11">
        <f>IF($A98="","",IF(AND($B98&lt;&gt;"",$K98&lt;90,SUM($L98:$N98)&gt;0),ROUND(0.25*SUM($L98:$N98),0),0))</f>
        <v/>
      </c>
      <c r="T98" s="11">
        <f>IF($A98="","",MIN(100,SUM($L98:$S98)))</f>
        <v/>
      </c>
      <c r="U98" s="12">
        <f>IF($A98="","",IF($T98&lt;25,"Safe",IF($T98&lt;50,"Watch","At-risk")))</f>
        <v/>
      </c>
      <c r="V98" s="12">
        <f>IF($A98="","",IF($T98=0,"—",INDEX($L$1:$S$1,1,MATCH(MAX($L98:$S98),$L98:$S98,0))))</f>
        <v/>
      </c>
    </row>
    <row r="99">
      <c r="A99" s="13" t="n"/>
      <c r="B99" s="9" t="n"/>
      <c r="C99" s="9" t="n"/>
      <c r="D99" s="10" t="n"/>
      <c r="E99" s="10" t="n"/>
      <c r="F99" s="10" t="n"/>
      <c r="G99" s="10" t="n"/>
      <c r="H99" s="13" t="n"/>
      <c r="I99" s="10" t="n"/>
      <c r="J99" s="10" t="n"/>
      <c r="K99" s="11">
        <f>IF($A99="","",IF($B99="","",MAX(0,'Settings'!$B$3-$B99)))</f>
        <v/>
      </c>
      <c r="L99" s="11">
        <f>IF($A99="","",IF(OR($H99="Paused",AND($B99&lt;&gt;"",'Settings'!$B$3-$B99&lt;=14)),0,IF($E99/12&gt;=0.75,IF(1-($D99/4)/($E99/12)&gt;=0.3,ROUND(30*(1-($D99/4)/($E99/12)),0),0),0)))</f>
        <v/>
      </c>
      <c r="M99" s="11">
        <f>IF($A99="","",IF(OR($H99="Paused",AND($B99&lt;&gt;"",'Settings'!$B$3-$B99&lt;=14)),0,IF($C99="",12,IF(MAX(0,'Settings'!$B$3-$C99)&lt;=7,0,IF(MAX(0,'Settings'!$B$3-$C99)&lt;=14,6,IF(MAX(0,'Settings'!$B$3-$C99)&lt;=21,12,IF(MAX(0,'Settings'!$B$3-$C99)&lt;=35,18,20)))))))</f>
        <v/>
      </c>
      <c r="N99" s="11">
        <f>IF($A99="","",IF(AND($H99&lt;&gt;"Paused",OR($B99="",'Settings'!$B$3-$B99&gt;14),$L99=0,IF($F99&gt;=2,1-$D99/$F99&gt;=0.5,FALSE)),10,0))</f>
        <v/>
      </c>
      <c r="O99" s="11">
        <f>IF($A99="","",MIN(16,$G99*8))</f>
        <v/>
      </c>
      <c r="P99" s="11">
        <f>IF($A99="","",IF($H99="Paused",14,IF($I99&gt;0,6,0)))</f>
        <v/>
      </c>
      <c r="Q99" s="11">
        <f>IF($A99="","",IF($H99="Ended",30,0))</f>
        <v/>
      </c>
      <c r="R99" s="11">
        <f>IF($A99="","",MIN(15,$J99*8))</f>
        <v/>
      </c>
      <c r="S99" s="11">
        <f>IF($A99="","",IF(AND($B99&lt;&gt;"",$K99&lt;90,SUM($L99:$N99)&gt;0),ROUND(0.25*SUM($L99:$N99),0),0))</f>
        <v/>
      </c>
      <c r="T99" s="11">
        <f>IF($A99="","",MIN(100,SUM($L99:$S99)))</f>
        <v/>
      </c>
      <c r="U99" s="12">
        <f>IF($A99="","",IF($T99&lt;25,"Safe",IF($T99&lt;50,"Watch","At-risk")))</f>
        <v/>
      </c>
      <c r="V99" s="12">
        <f>IF($A99="","",IF($T99=0,"—",INDEX($L$1:$S$1,1,MATCH(MAX($L99:$S99),$L99:$S99,0))))</f>
        <v/>
      </c>
    </row>
    <row r="100">
      <c r="A100" s="13" t="n"/>
      <c r="B100" s="9" t="n"/>
      <c r="C100" s="9" t="n"/>
      <c r="D100" s="10" t="n"/>
      <c r="E100" s="10" t="n"/>
      <c r="F100" s="10" t="n"/>
      <c r="G100" s="10" t="n"/>
      <c r="H100" s="13" t="n"/>
      <c r="I100" s="10" t="n"/>
      <c r="J100" s="10" t="n"/>
      <c r="K100" s="11">
        <f>IF($A100="","",IF($B100="","",MAX(0,'Settings'!$B$3-$B100)))</f>
        <v/>
      </c>
      <c r="L100" s="11">
        <f>IF($A100="","",IF(OR($H100="Paused",AND($B100&lt;&gt;"",'Settings'!$B$3-$B100&lt;=14)),0,IF($E100/12&gt;=0.75,IF(1-($D100/4)/($E100/12)&gt;=0.3,ROUND(30*(1-($D100/4)/($E100/12)),0),0),0)))</f>
        <v/>
      </c>
      <c r="M100" s="11">
        <f>IF($A100="","",IF(OR($H100="Paused",AND($B100&lt;&gt;"",'Settings'!$B$3-$B100&lt;=14)),0,IF($C100="",12,IF(MAX(0,'Settings'!$B$3-$C100)&lt;=7,0,IF(MAX(0,'Settings'!$B$3-$C100)&lt;=14,6,IF(MAX(0,'Settings'!$B$3-$C100)&lt;=21,12,IF(MAX(0,'Settings'!$B$3-$C100)&lt;=35,18,20)))))))</f>
        <v/>
      </c>
      <c r="N100" s="11">
        <f>IF($A100="","",IF(AND($H100&lt;&gt;"Paused",OR($B100="",'Settings'!$B$3-$B100&gt;14),$L100=0,IF($F100&gt;=2,1-$D100/$F100&gt;=0.5,FALSE)),10,0))</f>
        <v/>
      </c>
      <c r="O100" s="11">
        <f>IF($A100="","",MIN(16,$G100*8))</f>
        <v/>
      </c>
      <c r="P100" s="11">
        <f>IF($A100="","",IF($H100="Paused",14,IF($I100&gt;0,6,0)))</f>
        <v/>
      </c>
      <c r="Q100" s="11">
        <f>IF($A100="","",IF($H100="Ended",30,0))</f>
        <v/>
      </c>
      <c r="R100" s="11">
        <f>IF($A100="","",MIN(15,$J100*8))</f>
        <v/>
      </c>
      <c r="S100" s="11">
        <f>IF($A100="","",IF(AND($B100&lt;&gt;"",$K100&lt;90,SUM($L100:$N100)&gt;0),ROUND(0.25*SUM($L100:$N100),0),0))</f>
        <v/>
      </c>
      <c r="T100" s="11">
        <f>IF($A100="","",MIN(100,SUM($L100:$S100)))</f>
        <v/>
      </c>
      <c r="U100" s="12">
        <f>IF($A100="","",IF($T100&lt;25,"Safe",IF($T100&lt;50,"Watch","At-risk")))</f>
        <v/>
      </c>
      <c r="V100" s="12">
        <f>IF($A100="","",IF($T100=0,"—",INDEX($L$1:$S$1,1,MATCH(MAX($L100:$S100),$L100:$S100,0))))</f>
        <v/>
      </c>
    </row>
    <row r="101">
      <c r="A101" s="13" t="n"/>
      <c r="B101" s="9" t="n"/>
      <c r="C101" s="9" t="n"/>
      <c r="D101" s="10" t="n"/>
      <c r="E101" s="10" t="n"/>
      <c r="F101" s="10" t="n"/>
      <c r="G101" s="10" t="n"/>
      <c r="H101" s="13" t="n"/>
      <c r="I101" s="10" t="n"/>
      <c r="J101" s="10" t="n"/>
      <c r="K101" s="11">
        <f>IF($A101="","",IF($B101="","",MAX(0,'Settings'!$B$3-$B101)))</f>
        <v/>
      </c>
      <c r="L101" s="11">
        <f>IF($A101="","",IF(OR($H101="Paused",AND($B101&lt;&gt;"",'Settings'!$B$3-$B101&lt;=14)),0,IF($E101/12&gt;=0.75,IF(1-($D101/4)/($E101/12)&gt;=0.3,ROUND(30*(1-($D101/4)/($E101/12)),0),0),0)))</f>
        <v/>
      </c>
      <c r="M101" s="11">
        <f>IF($A101="","",IF(OR($H101="Paused",AND($B101&lt;&gt;"",'Settings'!$B$3-$B101&lt;=14)),0,IF($C101="",12,IF(MAX(0,'Settings'!$B$3-$C101)&lt;=7,0,IF(MAX(0,'Settings'!$B$3-$C101)&lt;=14,6,IF(MAX(0,'Settings'!$B$3-$C101)&lt;=21,12,IF(MAX(0,'Settings'!$B$3-$C101)&lt;=35,18,20)))))))</f>
        <v/>
      </c>
      <c r="N101" s="11">
        <f>IF($A101="","",IF(AND($H101&lt;&gt;"Paused",OR($B101="",'Settings'!$B$3-$B101&gt;14),$L101=0,IF($F101&gt;=2,1-$D101/$F101&gt;=0.5,FALSE)),10,0))</f>
        <v/>
      </c>
      <c r="O101" s="11">
        <f>IF($A101="","",MIN(16,$G101*8))</f>
        <v/>
      </c>
      <c r="P101" s="11">
        <f>IF($A101="","",IF($H101="Paused",14,IF($I101&gt;0,6,0)))</f>
        <v/>
      </c>
      <c r="Q101" s="11">
        <f>IF($A101="","",IF($H101="Ended",30,0))</f>
        <v/>
      </c>
      <c r="R101" s="11">
        <f>IF($A101="","",MIN(15,$J101*8))</f>
        <v/>
      </c>
      <c r="S101" s="11">
        <f>IF($A101="","",IF(AND($B101&lt;&gt;"",$K101&lt;90,SUM($L101:$N101)&gt;0),ROUND(0.25*SUM($L101:$N101),0),0))</f>
        <v/>
      </c>
      <c r="T101" s="11">
        <f>IF($A101="","",MIN(100,SUM($L101:$S101)))</f>
        <v/>
      </c>
      <c r="U101" s="12">
        <f>IF($A101="","",IF($T101&lt;25,"Safe",IF($T101&lt;50,"Watch","At-risk")))</f>
        <v/>
      </c>
      <c r="V101" s="12">
        <f>IF($A101="","",IF($T101=0,"—",INDEX($L$1:$S$1,1,MATCH(MAX($L101:$S101),$L101:$S101,0))))</f>
        <v/>
      </c>
    </row>
    <row r="102">
      <c r="A102" s="13" t="n"/>
      <c r="B102" s="9" t="n"/>
      <c r="C102" s="9" t="n"/>
      <c r="D102" s="10" t="n"/>
      <c r="E102" s="10" t="n"/>
      <c r="F102" s="10" t="n"/>
      <c r="G102" s="10" t="n"/>
      <c r="H102" s="13" t="n"/>
      <c r="I102" s="10" t="n"/>
      <c r="J102" s="10" t="n"/>
      <c r="K102" s="11">
        <f>IF($A102="","",IF($B102="","",MAX(0,'Settings'!$B$3-$B102)))</f>
        <v/>
      </c>
      <c r="L102" s="11">
        <f>IF($A102="","",IF(OR($H102="Paused",AND($B102&lt;&gt;"",'Settings'!$B$3-$B102&lt;=14)),0,IF($E102/12&gt;=0.75,IF(1-($D102/4)/($E102/12)&gt;=0.3,ROUND(30*(1-($D102/4)/($E102/12)),0),0),0)))</f>
        <v/>
      </c>
      <c r="M102" s="11">
        <f>IF($A102="","",IF(OR($H102="Paused",AND($B102&lt;&gt;"",'Settings'!$B$3-$B102&lt;=14)),0,IF($C102="",12,IF(MAX(0,'Settings'!$B$3-$C102)&lt;=7,0,IF(MAX(0,'Settings'!$B$3-$C102)&lt;=14,6,IF(MAX(0,'Settings'!$B$3-$C102)&lt;=21,12,IF(MAX(0,'Settings'!$B$3-$C102)&lt;=35,18,20)))))))</f>
        <v/>
      </c>
      <c r="N102" s="11">
        <f>IF($A102="","",IF(AND($H102&lt;&gt;"Paused",OR($B102="",'Settings'!$B$3-$B102&gt;14),$L102=0,IF($F102&gt;=2,1-$D102/$F102&gt;=0.5,FALSE)),10,0))</f>
        <v/>
      </c>
      <c r="O102" s="11">
        <f>IF($A102="","",MIN(16,$G102*8))</f>
        <v/>
      </c>
      <c r="P102" s="11">
        <f>IF($A102="","",IF($H102="Paused",14,IF($I102&gt;0,6,0)))</f>
        <v/>
      </c>
      <c r="Q102" s="11">
        <f>IF($A102="","",IF($H102="Ended",30,0))</f>
        <v/>
      </c>
      <c r="R102" s="11">
        <f>IF($A102="","",MIN(15,$J102*8))</f>
        <v/>
      </c>
      <c r="S102" s="11">
        <f>IF($A102="","",IF(AND($B102&lt;&gt;"",$K102&lt;90,SUM($L102:$N102)&gt;0),ROUND(0.25*SUM($L102:$N102),0),0))</f>
        <v/>
      </c>
      <c r="T102" s="11">
        <f>IF($A102="","",MIN(100,SUM($L102:$S102)))</f>
        <v/>
      </c>
      <c r="U102" s="12">
        <f>IF($A102="","",IF($T102&lt;25,"Safe",IF($T102&lt;50,"Watch","At-risk")))</f>
        <v/>
      </c>
      <c r="V102" s="12">
        <f>IF($A102="","",IF($T102=0,"—",INDEX($L$1:$S$1,1,MATCH(MAX($L102:$S102),$L102:$S102,0))))</f>
        <v/>
      </c>
    </row>
    <row r="103">
      <c r="A103" s="13" t="n"/>
      <c r="B103" s="9" t="n"/>
      <c r="C103" s="9" t="n"/>
      <c r="D103" s="10" t="n"/>
      <c r="E103" s="10" t="n"/>
      <c r="F103" s="10" t="n"/>
      <c r="G103" s="10" t="n"/>
      <c r="H103" s="13" t="n"/>
      <c r="I103" s="10" t="n"/>
      <c r="J103" s="10" t="n"/>
      <c r="K103" s="11">
        <f>IF($A103="","",IF($B103="","",MAX(0,'Settings'!$B$3-$B103)))</f>
        <v/>
      </c>
      <c r="L103" s="11">
        <f>IF($A103="","",IF(OR($H103="Paused",AND($B103&lt;&gt;"",'Settings'!$B$3-$B103&lt;=14)),0,IF($E103/12&gt;=0.75,IF(1-($D103/4)/($E103/12)&gt;=0.3,ROUND(30*(1-($D103/4)/($E103/12)),0),0),0)))</f>
        <v/>
      </c>
      <c r="M103" s="11">
        <f>IF($A103="","",IF(OR($H103="Paused",AND($B103&lt;&gt;"",'Settings'!$B$3-$B103&lt;=14)),0,IF($C103="",12,IF(MAX(0,'Settings'!$B$3-$C103)&lt;=7,0,IF(MAX(0,'Settings'!$B$3-$C103)&lt;=14,6,IF(MAX(0,'Settings'!$B$3-$C103)&lt;=21,12,IF(MAX(0,'Settings'!$B$3-$C103)&lt;=35,18,20)))))))</f>
        <v/>
      </c>
      <c r="N103" s="11">
        <f>IF($A103="","",IF(AND($H103&lt;&gt;"Paused",OR($B103="",'Settings'!$B$3-$B103&gt;14),$L103=0,IF($F103&gt;=2,1-$D103/$F103&gt;=0.5,FALSE)),10,0))</f>
        <v/>
      </c>
      <c r="O103" s="11">
        <f>IF($A103="","",MIN(16,$G103*8))</f>
        <v/>
      </c>
      <c r="P103" s="11">
        <f>IF($A103="","",IF($H103="Paused",14,IF($I103&gt;0,6,0)))</f>
        <v/>
      </c>
      <c r="Q103" s="11">
        <f>IF($A103="","",IF($H103="Ended",30,0))</f>
        <v/>
      </c>
      <c r="R103" s="11">
        <f>IF($A103="","",MIN(15,$J103*8))</f>
        <v/>
      </c>
      <c r="S103" s="11">
        <f>IF($A103="","",IF(AND($B103&lt;&gt;"",$K103&lt;90,SUM($L103:$N103)&gt;0),ROUND(0.25*SUM($L103:$N103),0),0))</f>
        <v/>
      </c>
      <c r="T103" s="11">
        <f>IF($A103="","",MIN(100,SUM($L103:$S103)))</f>
        <v/>
      </c>
      <c r="U103" s="12">
        <f>IF($A103="","",IF($T103&lt;25,"Safe",IF($T103&lt;50,"Watch","At-risk")))</f>
        <v/>
      </c>
      <c r="V103" s="12">
        <f>IF($A103="","",IF($T103=0,"—",INDEX($L$1:$S$1,1,MATCH(MAX($L103:$S103),$L103:$S103,0))))</f>
        <v/>
      </c>
    </row>
    <row r="104">
      <c r="A104" s="13" t="n"/>
      <c r="B104" s="9" t="n"/>
      <c r="C104" s="9" t="n"/>
      <c r="D104" s="10" t="n"/>
      <c r="E104" s="10" t="n"/>
      <c r="F104" s="10" t="n"/>
      <c r="G104" s="10" t="n"/>
      <c r="H104" s="13" t="n"/>
      <c r="I104" s="10" t="n"/>
      <c r="J104" s="10" t="n"/>
      <c r="K104" s="11">
        <f>IF($A104="","",IF($B104="","",MAX(0,'Settings'!$B$3-$B104)))</f>
        <v/>
      </c>
      <c r="L104" s="11">
        <f>IF($A104="","",IF(OR($H104="Paused",AND($B104&lt;&gt;"",'Settings'!$B$3-$B104&lt;=14)),0,IF($E104/12&gt;=0.75,IF(1-($D104/4)/($E104/12)&gt;=0.3,ROUND(30*(1-($D104/4)/($E104/12)),0),0),0)))</f>
        <v/>
      </c>
      <c r="M104" s="11">
        <f>IF($A104="","",IF(OR($H104="Paused",AND($B104&lt;&gt;"",'Settings'!$B$3-$B104&lt;=14)),0,IF($C104="",12,IF(MAX(0,'Settings'!$B$3-$C104)&lt;=7,0,IF(MAX(0,'Settings'!$B$3-$C104)&lt;=14,6,IF(MAX(0,'Settings'!$B$3-$C104)&lt;=21,12,IF(MAX(0,'Settings'!$B$3-$C104)&lt;=35,18,20)))))))</f>
        <v/>
      </c>
      <c r="N104" s="11">
        <f>IF($A104="","",IF(AND($H104&lt;&gt;"Paused",OR($B104="",'Settings'!$B$3-$B104&gt;14),$L104=0,IF($F104&gt;=2,1-$D104/$F104&gt;=0.5,FALSE)),10,0))</f>
        <v/>
      </c>
      <c r="O104" s="11">
        <f>IF($A104="","",MIN(16,$G104*8))</f>
        <v/>
      </c>
      <c r="P104" s="11">
        <f>IF($A104="","",IF($H104="Paused",14,IF($I104&gt;0,6,0)))</f>
        <v/>
      </c>
      <c r="Q104" s="11">
        <f>IF($A104="","",IF($H104="Ended",30,0))</f>
        <v/>
      </c>
      <c r="R104" s="11">
        <f>IF($A104="","",MIN(15,$J104*8))</f>
        <v/>
      </c>
      <c r="S104" s="11">
        <f>IF($A104="","",IF(AND($B104&lt;&gt;"",$K104&lt;90,SUM($L104:$N104)&gt;0),ROUND(0.25*SUM($L104:$N104),0),0))</f>
        <v/>
      </c>
      <c r="T104" s="11">
        <f>IF($A104="","",MIN(100,SUM($L104:$S104)))</f>
        <v/>
      </c>
      <c r="U104" s="12">
        <f>IF($A104="","",IF($T104&lt;25,"Safe",IF($T104&lt;50,"Watch","At-risk")))</f>
        <v/>
      </c>
      <c r="V104" s="12">
        <f>IF($A104="","",IF($T104=0,"—",INDEX($L$1:$S$1,1,MATCH(MAX($L104:$S104),$L104:$S104,0))))</f>
        <v/>
      </c>
    </row>
    <row r="105">
      <c r="A105" s="13" t="n"/>
      <c r="B105" s="9" t="n"/>
      <c r="C105" s="9" t="n"/>
      <c r="D105" s="10" t="n"/>
      <c r="E105" s="10" t="n"/>
      <c r="F105" s="10" t="n"/>
      <c r="G105" s="10" t="n"/>
      <c r="H105" s="13" t="n"/>
      <c r="I105" s="10" t="n"/>
      <c r="J105" s="10" t="n"/>
      <c r="K105" s="11">
        <f>IF($A105="","",IF($B105="","",MAX(0,'Settings'!$B$3-$B105)))</f>
        <v/>
      </c>
      <c r="L105" s="11">
        <f>IF($A105="","",IF(OR($H105="Paused",AND($B105&lt;&gt;"",'Settings'!$B$3-$B105&lt;=14)),0,IF($E105/12&gt;=0.75,IF(1-($D105/4)/($E105/12)&gt;=0.3,ROUND(30*(1-($D105/4)/($E105/12)),0),0),0)))</f>
        <v/>
      </c>
      <c r="M105" s="11">
        <f>IF($A105="","",IF(OR($H105="Paused",AND($B105&lt;&gt;"",'Settings'!$B$3-$B105&lt;=14)),0,IF($C105="",12,IF(MAX(0,'Settings'!$B$3-$C105)&lt;=7,0,IF(MAX(0,'Settings'!$B$3-$C105)&lt;=14,6,IF(MAX(0,'Settings'!$B$3-$C105)&lt;=21,12,IF(MAX(0,'Settings'!$B$3-$C105)&lt;=35,18,20)))))))</f>
        <v/>
      </c>
      <c r="N105" s="11">
        <f>IF($A105="","",IF(AND($H105&lt;&gt;"Paused",OR($B105="",'Settings'!$B$3-$B105&gt;14),$L105=0,IF($F105&gt;=2,1-$D105/$F105&gt;=0.5,FALSE)),10,0))</f>
        <v/>
      </c>
      <c r="O105" s="11">
        <f>IF($A105="","",MIN(16,$G105*8))</f>
        <v/>
      </c>
      <c r="P105" s="11">
        <f>IF($A105="","",IF($H105="Paused",14,IF($I105&gt;0,6,0)))</f>
        <v/>
      </c>
      <c r="Q105" s="11">
        <f>IF($A105="","",IF($H105="Ended",30,0))</f>
        <v/>
      </c>
      <c r="R105" s="11">
        <f>IF($A105="","",MIN(15,$J105*8))</f>
        <v/>
      </c>
      <c r="S105" s="11">
        <f>IF($A105="","",IF(AND($B105&lt;&gt;"",$K105&lt;90,SUM($L105:$N105)&gt;0),ROUND(0.25*SUM($L105:$N105),0),0))</f>
        <v/>
      </c>
      <c r="T105" s="11">
        <f>IF($A105="","",MIN(100,SUM($L105:$S105)))</f>
        <v/>
      </c>
      <c r="U105" s="12">
        <f>IF($A105="","",IF($T105&lt;25,"Safe",IF($T105&lt;50,"Watch","At-risk")))</f>
        <v/>
      </c>
      <c r="V105" s="12">
        <f>IF($A105="","",IF($T105=0,"—",INDEX($L$1:$S$1,1,MATCH(MAX($L105:$S105),$L105:$S105,0))))</f>
        <v/>
      </c>
    </row>
    <row r="106">
      <c r="A106" s="13" t="n"/>
      <c r="B106" s="9" t="n"/>
      <c r="C106" s="9" t="n"/>
      <c r="D106" s="10" t="n"/>
      <c r="E106" s="10" t="n"/>
      <c r="F106" s="10" t="n"/>
      <c r="G106" s="10" t="n"/>
      <c r="H106" s="13" t="n"/>
      <c r="I106" s="10" t="n"/>
      <c r="J106" s="10" t="n"/>
      <c r="K106" s="11">
        <f>IF($A106="","",IF($B106="","",MAX(0,'Settings'!$B$3-$B106)))</f>
        <v/>
      </c>
      <c r="L106" s="11">
        <f>IF($A106="","",IF(OR($H106="Paused",AND($B106&lt;&gt;"",'Settings'!$B$3-$B106&lt;=14)),0,IF($E106/12&gt;=0.75,IF(1-($D106/4)/($E106/12)&gt;=0.3,ROUND(30*(1-($D106/4)/($E106/12)),0),0),0)))</f>
        <v/>
      </c>
      <c r="M106" s="11">
        <f>IF($A106="","",IF(OR($H106="Paused",AND($B106&lt;&gt;"",'Settings'!$B$3-$B106&lt;=14)),0,IF($C106="",12,IF(MAX(0,'Settings'!$B$3-$C106)&lt;=7,0,IF(MAX(0,'Settings'!$B$3-$C106)&lt;=14,6,IF(MAX(0,'Settings'!$B$3-$C106)&lt;=21,12,IF(MAX(0,'Settings'!$B$3-$C106)&lt;=35,18,20)))))))</f>
        <v/>
      </c>
      <c r="N106" s="11">
        <f>IF($A106="","",IF(AND($H106&lt;&gt;"Paused",OR($B106="",'Settings'!$B$3-$B106&gt;14),$L106=0,IF($F106&gt;=2,1-$D106/$F106&gt;=0.5,FALSE)),10,0))</f>
        <v/>
      </c>
      <c r="O106" s="11">
        <f>IF($A106="","",MIN(16,$G106*8))</f>
        <v/>
      </c>
      <c r="P106" s="11">
        <f>IF($A106="","",IF($H106="Paused",14,IF($I106&gt;0,6,0)))</f>
        <v/>
      </c>
      <c r="Q106" s="11">
        <f>IF($A106="","",IF($H106="Ended",30,0))</f>
        <v/>
      </c>
      <c r="R106" s="11">
        <f>IF($A106="","",MIN(15,$J106*8))</f>
        <v/>
      </c>
      <c r="S106" s="11">
        <f>IF($A106="","",IF(AND($B106&lt;&gt;"",$K106&lt;90,SUM($L106:$N106)&gt;0),ROUND(0.25*SUM($L106:$N106),0),0))</f>
        <v/>
      </c>
      <c r="T106" s="11">
        <f>IF($A106="","",MIN(100,SUM($L106:$S106)))</f>
        <v/>
      </c>
      <c r="U106" s="12">
        <f>IF($A106="","",IF($T106&lt;25,"Safe",IF($T106&lt;50,"Watch","At-risk")))</f>
        <v/>
      </c>
      <c r="V106" s="12">
        <f>IF($A106="","",IF($T106=0,"—",INDEX($L$1:$S$1,1,MATCH(MAX($L106:$S106),$L106:$S106,0))))</f>
        <v/>
      </c>
    </row>
    <row r="107">
      <c r="A107" s="13" t="n"/>
      <c r="B107" s="9" t="n"/>
      <c r="C107" s="9" t="n"/>
      <c r="D107" s="10" t="n"/>
      <c r="E107" s="10" t="n"/>
      <c r="F107" s="10" t="n"/>
      <c r="G107" s="10" t="n"/>
      <c r="H107" s="13" t="n"/>
      <c r="I107" s="10" t="n"/>
      <c r="J107" s="10" t="n"/>
      <c r="K107" s="11">
        <f>IF($A107="","",IF($B107="","",MAX(0,'Settings'!$B$3-$B107)))</f>
        <v/>
      </c>
      <c r="L107" s="11">
        <f>IF($A107="","",IF(OR($H107="Paused",AND($B107&lt;&gt;"",'Settings'!$B$3-$B107&lt;=14)),0,IF($E107/12&gt;=0.75,IF(1-($D107/4)/($E107/12)&gt;=0.3,ROUND(30*(1-($D107/4)/($E107/12)),0),0),0)))</f>
        <v/>
      </c>
      <c r="M107" s="11">
        <f>IF($A107="","",IF(OR($H107="Paused",AND($B107&lt;&gt;"",'Settings'!$B$3-$B107&lt;=14)),0,IF($C107="",12,IF(MAX(0,'Settings'!$B$3-$C107)&lt;=7,0,IF(MAX(0,'Settings'!$B$3-$C107)&lt;=14,6,IF(MAX(0,'Settings'!$B$3-$C107)&lt;=21,12,IF(MAX(0,'Settings'!$B$3-$C107)&lt;=35,18,20)))))))</f>
        <v/>
      </c>
      <c r="N107" s="11">
        <f>IF($A107="","",IF(AND($H107&lt;&gt;"Paused",OR($B107="",'Settings'!$B$3-$B107&gt;14),$L107=0,IF($F107&gt;=2,1-$D107/$F107&gt;=0.5,FALSE)),10,0))</f>
        <v/>
      </c>
      <c r="O107" s="11">
        <f>IF($A107="","",MIN(16,$G107*8))</f>
        <v/>
      </c>
      <c r="P107" s="11">
        <f>IF($A107="","",IF($H107="Paused",14,IF($I107&gt;0,6,0)))</f>
        <v/>
      </c>
      <c r="Q107" s="11">
        <f>IF($A107="","",IF($H107="Ended",30,0))</f>
        <v/>
      </c>
      <c r="R107" s="11">
        <f>IF($A107="","",MIN(15,$J107*8))</f>
        <v/>
      </c>
      <c r="S107" s="11">
        <f>IF($A107="","",IF(AND($B107&lt;&gt;"",$K107&lt;90,SUM($L107:$N107)&gt;0),ROUND(0.25*SUM($L107:$N107),0),0))</f>
        <v/>
      </c>
      <c r="T107" s="11">
        <f>IF($A107="","",MIN(100,SUM($L107:$S107)))</f>
        <v/>
      </c>
      <c r="U107" s="12">
        <f>IF($A107="","",IF($T107&lt;25,"Safe",IF($T107&lt;50,"Watch","At-risk")))</f>
        <v/>
      </c>
      <c r="V107" s="12">
        <f>IF($A107="","",IF($T107=0,"—",INDEX($L$1:$S$1,1,MATCH(MAX($L107:$S107),$L107:$S107,0))))</f>
        <v/>
      </c>
    </row>
    <row r="108">
      <c r="A108" s="13" t="n"/>
      <c r="B108" s="9" t="n"/>
      <c r="C108" s="9" t="n"/>
      <c r="D108" s="10" t="n"/>
      <c r="E108" s="10" t="n"/>
      <c r="F108" s="10" t="n"/>
      <c r="G108" s="10" t="n"/>
      <c r="H108" s="13" t="n"/>
      <c r="I108" s="10" t="n"/>
      <c r="J108" s="10" t="n"/>
      <c r="K108" s="11">
        <f>IF($A108="","",IF($B108="","",MAX(0,'Settings'!$B$3-$B108)))</f>
        <v/>
      </c>
      <c r="L108" s="11">
        <f>IF($A108="","",IF(OR($H108="Paused",AND($B108&lt;&gt;"",'Settings'!$B$3-$B108&lt;=14)),0,IF($E108/12&gt;=0.75,IF(1-($D108/4)/($E108/12)&gt;=0.3,ROUND(30*(1-($D108/4)/($E108/12)),0),0),0)))</f>
        <v/>
      </c>
      <c r="M108" s="11">
        <f>IF($A108="","",IF(OR($H108="Paused",AND($B108&lt;&gt;"",'Settings'!$B$3-$B108&lt;=14)),0,IF($C108="",12,IF(MAX(0,'Settings'!$B$3-$C108)&lt;=7,0,IF(MAX(0,'Settings'!$B$3-$C108)&lt;=14,6,IF(MAX(0,'Settings'!$B$3-$C108)&lt;=21,12,IF(MAX(0,'Settings'!$B$3-$C108)&lt;=35,18,20)))))))</f>
        <v/>
      </c>
      <c r="N108" s="11">
        <f>IF($A108="","",IF(AND($H108&lt;&gt;"Paused",OR($B108="",'Settings'!$B$3-$B108&gt;14),$L108=0,IF($F108&gt;=2,1-$D108/$F108&gt;=0.5,FALSE)),10,0))</f>
        <v/>
      </c>
      <c r="O108" s="11">
        <f>IF($A108="","",MIN(16,$G108*8))</f>
        <v/>
      </c>
      <c r="P108" s="11">
        <f>IF($A108="","",IF($H108="Paused",14,IF($I108&gt;0,6,0)))</f>
        <v/>
      </c>
      <c r="Q108" s="11">
        <f>IF($A108="","",IF($H108="Ended",30,0))</f>
        <v/>
      </c>
      <c r="R108" s="11">
        <f>IF($A108="","",MIN(15,$J108*8))</f>
        <v/>
      </c>
      <c r="S108" s="11">
        <f>IF($A108="","",IF(AND($B108&lt;&gt;"",$K108&lt;90,SUM($L108:$N108)&gt;0),ROUND(0.25*SUM($L108:$N108),0),0))</f>
        <v/>
      </c>
      <c r="T108" s="11">
        <f>IF($A108="","",MIN(100,SUM($L108:$S108)))</f>
        <v/>
      </c>
      <c r="U108" s="12">
        <f>IF($A108="","",IF($T108&lt;25,"Safe",IF($T108&lt;50,"Watch","At-risk")))</f>
        <v/>
      </c>
      <c r="V108" s="12">
        <f>IF($A108="","",IF($T108=0,"—",INDEX($L$1:$S$1,1,MATCH(MAX($L108:$S108),$L108:$S108,0))))</f>
        <v/>
      </c>
    </row>
    <row r="109">
      <c r="A109" s="13" t="n"/>
      <c r="B109" s="9" t="n"/>
      <c r="C109" s="9" t="n"/>
      <c r="D109" s="10" t="n"/>
      <c r="E109" s="10" t="n"/>
      <c r="F109" s="10" t="n"/>
      <c r="G109" s="10" t="n"/>
      <c r="H109" s="13" t="n"/>
      <c r="I109" s="10" t="n"/>
      <c r="J109" s="10" t="n"/>
      <c r="K109" s="11">
        <f>IF($A109="","",IF($B109="","",MAX(0,'Settings'!$B$3-$B109)))</f>
        <v/>
      </c>
      <c r="L109" s="11">
        <f>IF($A109="","",IF(OR($H109="Paused",AND($B109&lt;&gt;"",'Settings'!$B$3-$B109&lt;=14)),0,IF($E109/12&gt;=0.75,IF(1-($D109/4)/($E109/12)&gt;=0.3,ROUND(30*(1-($D109/4)/($E109/12)),0),0),0)))</f>
        <v/>
      </c>
      <c r="M109" s="11">
        <f>IF($A109="","",IF(OR($H109="Paused",AND($B109&lt;&gt;"",'Settings'!$B$3-$B109&lt;=14)),0,IF($C109="",12,IF(MAX(0,'Settings'!$B$3-$C109)&lt;=7,0,IF(MAX(0,'Settings'!$B$3-$C109)&lt;=14,6,IF(MAX(0,'Settings'!$B$3-$C109)&lt;=21,12,IF(MAX(0,'Settings'!$B$3-$C109)&lt;=35,18,20)))))))</f>
        <v/>
      </c>
      <c r="N109" s="11">
        <f>IF($A109="","",IF(AND($H109&lt;&gt;"Paused",OR($B109="",'Settings'!$B$3-$B109&gt;14),$L109=0,IF($F109&gt;=2,1-$D109/$F109&gt;=0.5,FALSE)),10,0))</f>
        <v/>
      </c>
      <c r="O109" s="11">
        <f>IF($A109="","",MIN(16,$G109*8))</f>
        <v/>
      </c>
      <c r="P109" s="11">
        <f>IF($A109="","",IF($H109="Paused",14,IF($I109&gt;0,6,0)))</f>
        <v/>
      </c>
      <c r="Q109" s="11">
        <f>IF($A109="","",IF($H109="Ended",30,0))</f>
        <v/>
      </c>
      <c r="R109" s="11">
        <f>IF($A109="","",MIN(15,$J109*8))</f>
        <v/>
      </c>
      <c r="S109" s="11">
        <f>IF($A109="","",IF(AND($B109&lt;&gt;"",$K109&lt;90,SUM($L109:$N109)&gt;0),ROUND(0.25*SUM($L109:$N109),0),0))</f>
        <v/>
      </c>
      <c r="T109" s="11">
        <f>IF($A109="","",MIN(100,SUM($L109:$S109)))</f>
        <v/>
      </c>
      <c r="U109" s="12">
        <f>IF($A109="","",IF($T109&lt;25,"Safe",IF($T109&lt;50,"Watch","At-risk")))</f>
        <v/>
      </c>
      <c r="V109" s="12">
        <f>IF($A109="","",IF($T109=0,"—",INDEX($L$1:$S$1,1,MATCH(MAX($L109:$S109),$L109:$S109,0))))</f>
        <v/>
      </c>
    </row>
    <row r="110">
      <c r="A110" s="13" t="n"/>
      <c r="B110" s="9" t="n"/>
      <c r="C110" s="9" t="n"/>
      <c r="D110" s="10" t="n"/>
      <c r="E110" s="10" t="n"/>
      <c r="F110" s="10" t="n"/>
      <c r="G110" s="10" t="n"/>
      <c r="H110" s="13" t="n"/>
      <c r="I110" s="10" t="n"/>
      <c r="J110" s="10" t="n"/>
      <c r="K110" s="11">
        <f>IF($A110="","",IF($B110="","",MAX(0,'Settings'!$B$3-$B110)))</f>
        <v/>
      </c>
      <c r="L110" s="11">
        <f>IF($A110="","",IF(OR($H110="Paused",AND($B110&lt;&gt;"",'Settings'!$B$3-$B110&lt;=14)),0,IF($E110/12&gt;=0.75,IF(1-($D110/4)/($E110/12)&gt;=0.3,ROUND(30*(1-($D110/4)/($E110/12)),0),0),0)))</f>
        <v/>
      </c>
      <c r="M110" s="11">
        <f>IF($A110="","",IF(OR($H110="Paused",AND($B110&lt;&gt;"",'Settings'!$B$3-$B110&lt;=14)),0,IF($C110="",12,IF(MAX(0,'Settings'!$B$3-$C110)&lt;=7,0,IF(MAX(0,'Settings'!$B$3-$C110)&lt;=14,6,IF(MAX(0,'Settings'!$B$3-$C110)&lt;=21,12,IF(MAX(0,'Settings'!$B$3-$C110)&lt;=35,18,20)))))))</f>
        <v/>
      </c>
      <c r="N110" s="11">
        <f>IF($A110="","",IF(AND($H110&lt;&gt;"Paused",OR($B110="",'Settings'!$B$3-$B110&gt;14),$L110=0,IF($F110&gt;=2,1-$D110/$F110&gt;=0.5,FALSE)),10,0))</f>
        <v/>
      </c>
      <c r="O110" s="11">
        <f>IF($A110="","",MIN(16,$G110*8))</f>
        <v/>
      </c>
      <c r="P110" s="11">
        <f>IF($A110="","",IF($H110="Paused",14,IF($I110&gt;0,6,0)))</f>
        <v/>
      </c>
      <c r="Q110" s="11">
        <f>IF($A110="","",IF($H110="Ended",30,0))</f>
        <v/>
      </c>
      <c r="R110" s="11">
        <f>IF($A110="","",MIN(15,$J110*8))</f>
        <v/>
      </c>
      <c r="S110" s="11">
        <f>IF($A110="","",IF(AND($B110&lt;&gt;"",$K110&lt;90,SUM($L110:$N110)&gt;0),ROUND(0.25*SUM($L110:$N110),0),0))</f>
        <v/>
      </c>
      <c r="T110" s="11">
        <f>IF($A110="","",MIN(100,SUM($L110:$S110)))</f>
        <v/>
      </c>
      <c r="U110" s="12">
        <f>IF($A110="","",IF($T110&lt;25,"Safe",IF($T110&lt;50,"Watch","At-risk")))</f>
        <v/>
      </c>
      <c r="V110" s="12">
        <f>IF($A110="","",IF($T110=0,"—",INDEX($L$1:$S$1,1,MATCH(MAX($L110:$S110),$L110:$S110,0))))</f>
        <v/>
      </c>
    </row>
    <row r="111">
      <c r="A111" s="13" t="n"/>
      <c r="B111" s="9" t="n"/>
      <c r="C111" s="9" t="n"/>
      <c r="D111" s="10" t="n"/>
      <c r="E111" s="10" t="n"/>
      <c r="F111" s="10" t="n"/>
      <c r="G111" s="10" t="n"/>
      <c r="H111" s="13" t="n"/>
      <c r="I111" s="10" t="n"/>
      <c r="J111" s="10" t="n"/>
      <c r="K111" s="11">
        <f>IF($A111="","",IF($B111="","",MAX(0,'Settings'!$B$3-$B111)))</f>
        <v/>
      </c>
      <c r="L111" s="11">
        <f>IF($A111="","",IF(OR($H111="Paused",AND($B111&lt;&gt;"",'Settings'!$B$3-$B111&lt;=14)),0,IF($E111/12&gt;=0.75,IF(1-($D111/4)/($E111/12)&gt;=0.3,ROUND(30*(1-($D111/4)/($E111/12)),0),0),0)))</f>
        <v/>
      </c>
      <c r="M111" s="11">
        <f>IF($A111="","",IF(OR($H111="Paused",AND($B111&lt;&gt;"",'Settings'!$B$3-$B111&lt;=14)),0,IF($C111="",12,IF(MAX(0,'Settings'!$B$3-$C111)&lt;=7,0,IF(MAX(0,'Settings'!$B$3-$C111)&lt;=14,6,IF(MAX(0,'Settings'!$B$3-$C111)&lt;=21,12,IF(MAX(0,'Settings'!$B$3-$C111)&lt;=35,18,20)))))))</f>
        <v/>
      </c>
      <c r="N111" s="11">
        <f>IF($A111="","",IF(AND($H111&lt;&gt;"Paused",OR($B111="",'Settings'!$B$3-$B111&gt;14),$L111=0,IF($F111&gt;=2,1-$D111/$F111&gt;=0.5,FALSE)),10,0))</f>
        <v/>
      </c>
      <c r="O111" s="11">
        <f>IF($A111="","",MIN(16,$G111*8))</f>
        <v/>
      </c>
      <c r="P111" s="11">
        <f>IF($A111="","",IF($H111="Paused",14,IF($I111&gt;0,6,0)))</f>
        <v/>
      </c>
      <c r="Q111" s="11">
        <f>IF($A111="","",IF($H111="Ended",30,0))</f>
        <v/>
      </c>
      <c r="R111" s="11">
        <f>IF($A111="","",MIN(15,$J111*8))</f>
        <v/>
      </c>
      <c r="S111" s="11">
        <f>IF($A111="","",IF(AND($B111&lt;&gt;"",$K111&lt;90,SUM($L111:$N111)&gt;0),ROUND(0.25*SUM($L111:$N111),0),0))</f>
        <v/>
      </c>
      <c r="T111" s="11">
        <f>IF($A111="","",MIN(100,SUM($L111:$S111)))</f>
        <v/>
      </c>
      <c r="U111" s="12">
        <f>IF($A111="","",IF($T111&lt;25,"Safe",IF($T111&lt;50,"Watch","At-risk")))</f>
        <v/>
      </c>
      <c r="V111" s="12">
        <f>IF($A111="","",IF($T111=0,"—",INDEX($L$1:$S$1,1,MATCH(MAX($L111:$S111),$L111:$S111,0))))</f>
        <v/>
      </c>
    </row>
    <row r="112">
      <c r="A112" s="13" t="n"/>
      <c r="B112" s="9" t="n"/>
      <c r="C112" s="9" t="n"/>
      <c r="D112" s="10" t="n"/>
      <c r="E112" s="10" t="n"/>
      <c r="F112" s="10" t="n"/>
      <c r="G112" s="10" t="n"/>
      <c r="H112" s="13" t="n"/>
      <c r="I112" s="10" t="n"/>
      <c r="J112" s="10" t="n"/>
      <c r="K112" s="11">
        <f>IF($A112="","",IF($B112="","",MAX(0,'Settings'!$B$3-$B112)))</f>
        <v/>
      </c>
      <c r="L112" s="11">
        <f>IF($A112="","",IF(OR($H112="Paused",AND($B112&lt;&gt;"",'Settings'!$B$3-$B112&lt;=14)),0,IF($E112/12&gt;=0.75,IF(1-($D112/4)/($E112/12)&gt;=0.3,ROUND(30*(1-($D112/4)/($E112/12)),0),0),0)))</f>
        <v/>
      </c>
      <c r="M112" s="11">
        <f>IF($A112="","",IF(OR($H112="Paused",AND($B112&lt;&gt;"",'Settings'!$B$3-$B112&lt;=14)),0,IF($C112="",12,IF(MAX(0,'Settings'!$B$3-$C112)&lt;=7,0,IF(MAX(0,'Settings'!$B$3-$C112)&lt;=14,6,IF(MAX(0,'Settings'!$B$3-$C112)&lt;=21,12,IF(MAX(0,'Settings'!$B$3-$C112)&lt;=35,18,20)))))))</f>
        <v/>
      </c>
      <c r="N112" s="11">
        <f>IF($A112="","",IF(AND($H112&lt;&gt;"Paused",OR($B112="",'Settings'!$B$3-$B112&gt;14),$L112=0,IF($F112&gt;=2,1-$D112/$F112&gt;=0.5,FALSE)),10,0))</f>
        <v/>
      </c>
      <c r="O112" s="11">
        <f>IF($A112="","",MIN(16,$G112*8))</f>
        <v/>
      </c>
      <c r="P112" s="11">
        <f>IF($A112="","",IF($H112="Paused",14,IF($I112&gt;0,6,0)))</f>
        <v/>
      </c>
      <c r="Q112" s="11">
        <f>IF($A112="","",IF($H112="Ended",30,0))</f>
        <v/>
      </c>
      <c r="R112" s="11">
        <f>IF($A112="","",MIN(15,$J112*8))</f>
        <v/>
      </c>
      <c r="S112" s="11">
        <f>IF($A112="","",IF(AND($B112&lt;&gt;"",$K112&lt;90,SUM($L112:$N112)&gt;0),ROUND(0.25*SUM($L112:$N112),0),0))</f>
        <v/>
      </c>
      <c r="T112" s="11">
        <f>IF($A112="","",MIN(100,SUM($L112:$S112)))</f>
        <v/>
      </c>
      <c r="U112" s="12">
        <f>IF($A112="","",IF($T112&lt;25,"Safe",IF($T112&lt;50,"Watch","At-risk")))</f>
        <v/>
      </c>
      <c r="V112" s="12">
        <f>IF($A112="","",IF($T112=0,"—",INDEX($L$1:$S$1,1,MATCH(MAX($L112:$S112),$L112:$S112,0))))</f>
        <v/>
      </c>
    </row>
    <row r="113">
      <c r="A113" s="13" t="n"/>
      <c r="B113" s="9" t="n"/>
      <c r="C113" s="9" t="n"/>
      <c r="D113" s="10" t="n"/>
      <c r="E113" s="10" t="n"/>
      <c r="F113" s="10" t="n"/>
      <c r="G113" s="10" t="n"/>
      <c r="H113" s="13" t="n"/>
      <c r="I113" s="10" t="n"/>
      <c r="J113" s="10" t="n"/>
      <c r="K113" s="11">
        <f>IF($A113="","",IF($B113="","",MAX(0,'Settings'!$B$3-$B113)))</f>
        <v/>
      </c>
      <c r="L113" s="11">
        <f>IF($A113="","",IF(OR($H113="Paused",AND($B113&lt;&gt;"",'Settings'!$B$3-$B113&lt;=14)),0,IF($E113/12&gt;=0.75,IF(1-($D113/4)/($E113/12)&gt;=0.3,ROUND(30*(1-($D113/4)/($E113/12)),0),0),0)))</f>
        <v/>
      </c>
      <c r="M113" s="11">
        <f>IF($A113="","",IF(OR($H113="Paused",AND($B113&lt;&gt;"",'Settings'!$B$3-$B113&lt;=14)),0,IF($C113="",12,IF(MAX(0,'Settings'!$B$3-$C113)&lt;=7,0,IF(MAX(0,'Settings'!$B$3-$C113)&lt;=14,6,IF(MAX(0,'Settings'!$B$3-$C113)&lt;=21,12,IF(MAX(0,'Settings'!$B$3-$C113)&lt;=35,18,20)))))))</f>
        <v/>
      </c>
      <c r="N113" s="11">
        <f>IF($A113="","",IF(AND($H113&lt;&gt;"Paused",OR($B113="",'Settings'!$B$3-$B113&gt;14),$L113=0,IF($F113&gt;=2,1-$D113/$F113&gt;=0.5,FALSE)),10,0))</f>
        <v/>
      </c>
      <c r="O113" s="11">
        <f>IF($A113="","",MIN(16,$G113*8))</f>
        <v/>
      </c>
      <c r="P113" s="11">
        <f>IF($A113="","",IF($H113="Paused",14,IF($I113&gt;0,6,0)))</f>
        <v/>
      </c>
      <c r="Q113" s="11">
        <f>IF($A113="","",IF($H113="Ended",30,0))</f>
        <v/>
      </c>
      <c r="R113" s="11">
        <f>IF($A113="","",MIN(15,$J113*8))</f>
        <v/>
      </c>
      <c r="S113" s="11">
        <f>IF($A113="","",IF(AND($B113&lt;&gt;"",$K113&lt;90,SUM($L113:$N113)&gt;0),ROUND(0.25*SUM($L113:$N113),0),0))</f>
        <v/>
      </c>
      <c r="T113" s="11">
        <f>IF($A113="","",MIN(100,SUM($L113:$S113)))</f>
        <v/>
      </c>
      <c r="U113" s="12">
        <f>IF($A113="","",IF($T113&lt;25,"Safe",IF($T113&lt;50,"Watch","At-risk")))</f>
        <v/>
      </c>
      <c r="V113" s="12">
        <f>IF($A113="","",IF($T113=0,"—",INDEX($L$1:$S$1,1,MATCH(MAX($L113:$S113),$L113:$S113,0))))</f>
        <v/>
      </c>
    </row>
    <row r="114">
      <c r="A114" s="13" t="n"/>
      <c r="B114" s="9" t="n"/>
      <c r="C114" s="9" t="n"/>
      <c r="D114" s="10" t="n"/>
      <c r="E114" s="10" t="n"/>
      <c r="F114" s="10" t="n"/>
      <c r="G114" s="10" t="n"/>
      <c r="H114" s="13" t="n"/>
      <c r="I114" s="10" t="n"/>
      <c r="J114" s="10" t="n"/>
      <c r="K114" s="11">
        <f>IF($A114="","",IF($B114="","",MAX(0,'Settings'!$B$3-$B114)))</f>
        <v/>
      </c>
      <c r="L114" s="11">
        <f>IF($A114="","",IF(OR($H114="Paused",AND($B114&lt;&gt;"",'Settings'!$B$3-$B114&lt;=14)),0,IF($E114/12&gt;=0.75,IF(1-($D114/4)/($E114/12)&gt;=0.3,ROUND(30*(1-($D114/4)/($E114/12)),0),0),0)))</f>
        <v/>
      </c>
      <c r="M114" s="11">
        <f>IF($A114="","",IF(OR($H114="Paused",AND($B114&lt;&gt;"",'Settings'!$B$3-$B114&lt;=14)),0,IF($C114="",12,IF(MAX(0,'Settings'!$B$3-$C114)&lt;=7,0,IF(MAX(0,'Settings'!$B$3-$C114)&lt;=14,6,IF(MAX(0,'Settings'!$B$3-$C114)&lt;=21,12,IF(MAX(0,'Settings'!$B$3-$C114)&lt;=35,18,20)))))))</f>
        <v/>
      </c>
      <c r="N114" s="11">
        <f>IF($A114="","",IF(AND($H114&lt;&gt;"Paused",OR($B114="",'Settings'!$B$3-$B114&gt;14),$L114=0,IF($F114&gt;=2,1-$D114/$F114&gt;=0.5,FALSE)),10,0))</f>
        <v/>
      </c>
      <c r="O114" s="11">
        <f>IF($A114="","",MIN(16,$G114*8))</f>
        <v/>
      </c>
      <c r="P114" s="11">
        <f>IF($A114="","",IF($H114="Paused",14,IF($I114&gt;0,6,0)))</f>
        <v/>
      </c>
      <c r="Q114" s="11">
        <f>IF($A114="","",IF($H114="Ended",30,0))</f>
        <v/>
      </c>
      <c r="R114" s="11">
        <f>IF($A114="","",MIN(15,$J114*8))</f>
        <v/>
      </c>
      <c r="S114" s="11">
        <f>IF($A114="","",IF(AND($B114&lt;&gt;"",$K114&lt;90,SUM($L114:$N114)&gt;0),ROUND(0.25*SUM($L114:$N114),0),0))</f>
        <v/>
      </c>
      <c r="T114" s="11">
        <f>IF($A114="","",MIN(100,SUM($L114:$S114)))</f>
        <v/>
      </c>
      <c r="U114" s="12">
        <f>IF($A114="","",IF($T114&lt;25,"Safe",IF($T114&lt;50,"Watch","At-risk")))</f>
        <v/>
      </c>
      <c r="V114" s="12">
        <f>IF($A114="","",IF($T114=0,"—",INDEX($L$1:$S$1,1,MATCH(MAX($L114:$S114),$L114:$S114,0))))</f>
        <v/>
      </c>
    </row>
    <row r="115">
      <c r="A115" s="13" t="n"/>
      <c r="B115" s="9" t="n"/>
      <c r="C115" s="9" t="n"/>
      <c r="D115" s="10" t="n"/>
      <c r="E115" s="10" t="n"/>
      <c r="F115" s="10" t="n"/>
      <c r="G115" s="10" t="n"/>
      <c r="H115" s="13" t="n"/>
      <c r="I115" s="10" t="n"/>
      <c r="J115" s="10" t="n"/>
      <c r="K115" s="11">
        <f>IF($A115="","",IF($B115="","",MAX(0,'Settings'!$B$3-$B115)))</f>
        <v/>
      </c>
      <c r="L115" s="11">
        <f>IF($A115="","",IF(OR($H115="Paused",AND($B115&lt;&gt;"",'Settings'!$B$3-$B115&lt;=14)),0,IF($E115/12&gt;=0.75,IF(1-($D115/4)/($E115/12)&gt;=0.3,ROUND(30*(1-($D115/4)/($E115/12)),0),0),0)))</f>
        <v/>
      </c>
      <c r="M115" s="11">
        <f>IF($A115="","",IF(OR($H115="Paused",AND($B115&lt;&gt;"",'Settings'!$B$3-$B115&lt;=14)),0,IF($C115="",12,IF(MAX(0,'Settings'!$B$3-$C115)&lt;=7,0,IF(MAX(0,'Settings'!$B$3-$C115)&lt;=14,6,IF(MAX(0,'Settings'!$B$3-$C115)&lt;=21,12,IF(MAX(0,'Settings'!$B$3-$C115)&lt;=35,18,20)))))))</f>
        <v/>
      </c>
      <c r="N115" s="11">
        <f>IF($A115="","",IF(AND($H115&lt;&gt;"Paused",OR($B115="",'Settings'!$B$3-$B115&gt;14),$L115=0,IF($F115&gt;=2,1-$D115/$F115&gt;=0.5,FALSE)),10,0))</f>
        <v/>
      </c>
      <c r="O115" s="11">
        <f>IF($A115="","",MIN(16,$G115*8))</f>
        <v/>
      </c>
      <c r="P115" s="11">
        <f>IF($A115="","",IF($H115="Paused",14,IF($I115&gt;0,6,0)))</f>
        <v/>
      </c>
      <c r="Q115" s="11">
        <f>IF($A115="","",IF($H115="Ended",30,0))</f>
        <v/>
      </c>
      <c r="R115" s="11">
        <f>IF($A115="","",MIN(15,$J115*8))</f>
        <v/>
      </c>
      <c r="S115" s="11">
        <f>IF($A115="","",IF(AND($B115&lt;&gt;"",$K115&lt;90,SUM($L115:$N115)&gt;0),ROUND(0.25*SUM($L115:$N115),0),0))</f>
        <v/>
      </c>
      <c r="T115" s="11">
        <f>IF($A115="","",MIN(100,SUM($L115:$S115)))</f>
        <v/>
      </c>
      <c r="U115" s="12">
        <f>IF($A115="","",IF($T115&lt;25,"Safe",IF($T115&lt;50,"Watch","At-risk")))</f>
        <v/>
      </c>
      <c r="V115" s="12">
        <f>IF($A115="","",IF($T115=0,"—",INDEX($L$1:$S$1,1,MATCH(MAX($L115:$S115),$L115:$S115,0))))</f>
        <v/>
      </c>
    </row>
    <row r="116">
      <c r="A116" s="13" t="n"/>
      <c r="B116" s="9" t="n"/>
      <c r="C116" s="9" t="n"/>
      <c r="D116" s="10" t="n"/>
      <c r="E116" s="10" t="n"/>
      <c r="F116" s="10" t="n"/>
      <c r="G116" s="10" t="n"/>
      <c r="H116" s="13" t="n"/>
      <c r="I116" s="10" t="n"/>
      <c r="J116" s="10" t="n"/>
      <c r="K116" s="11">
        <f>IF($A116="","",IF($B116="","",MAX(0,'Settings'!$B$3-$B116)))</f>
        <v/>
      </c>
      <c r="L116" s="11">
        <f>IF($A116="","",IF(OR($H116="Paused",AND($B116&lt;&gt;"",'Settings'!$B$3-$B116&lt;=14)),0,IF($E116/12&gt;=0.75,IF(1-($D116/4)/($E116/12)&gt;=0.3,ROUND(30*(1-($D116/4)/($E116/12)),0),0),0)))</f>
        <v/>
      </c>
      <c r="M116" s="11">
        <f>IF($A116="","",IF(OR($H116="Paused",AND($B116&lt;&gt;"",'Settings'!$B$3-$B116&lt;=14)),0,IF($C116="",12,IF(MAX(0,'Settings'!$B$3-$C116)&lt;=7,0,IF(MAX(0,'Settings'!$B$3-$C116)&lt;=14,6,IF(MAX(0,'Settings'!$B$3-$C116)&lt;=21,12,IF(MAX(0,'Settings'!$B$3-$C116)&lt;=35,18,20)))))))</f>
        <v/>
      </c>
      <c r="N116" s="11">
        <f>IF($A116="","",IF(AND($H116&lt;&gt;"Paused",OR($B116="",'Settings'!$B$3-$B116&gt;14),$L116=0,IF($F116&gt;=2,1-$D116/$F116&gt;=0.5,FALSE)),10,0))</f>
        <v/>
      </c>
      <c r="O116" s="11">
        <f>IF($A116="","",MIN(16,$G116*8))</f>
        <v/>
      </c>
      <c r="P116" s="11">
        <f>IF($A116="","",IF($H116="Paused",14,IF($I116&gt;0,6,0)))</f>
        <v/>
      </c>
      <c r="Q116" s="11">
        <f>IF($A116="","",IF($H116="Ended",30,0))</f>
        <v/>
      </c>
      <c r="R116" s="11">
        <f>IF($A116="","",MIN(15,$J116*8))</f>
        <v/>
      </c>
      <c r="S116" s="11">
        <f>IF($A116="","",IF(AND($B116&lt;&gt;"",$K116&lt;90,SUM($L116:$N116)&gt;0),ROUND(0.25*SUM($L116:$N116),0),0))</f>
        <v/>
      </c>
      <c r="T116" s="11">
        <f>IF($A116="","",MIN(100,SUM($L116:$S116)))</f>
        <v/>
      </c>
      <c r="U116" s="12">
        <f>IF($A116="","",IF($T116&lt;25,"Safe",IF($T116&lt;50,"Watch","At-risk")))</f>
        <v/>
      </c>
      <c r="V116" s="12">
        <f>IF($A116="","",IF($T116=0,"—",INDEX($L$1:$S$1,1,MATCH(MAX($L116:$S116),$L116:$S116,0))))</f>
        <v/>
      </c>
    </row>
    <row r="117">
      <c r="A117" s="13" t="n"/>
      <c r="B117" s="9" t="n"/>
      <c r="C117" s="9" t="n"/>
      <c r="D117" s="10" t="n"/>
      <c r="E117" s="10" t="n"/>
      <c r="F117" s="10" t="n"/>
      <c r="G117" s="10" t="n"/>
      <c r="H117" s="13" t="n"/>
      <c r="I117" s="10" t="n"/>
      <c r="J117" s="10" t="n"/>
      <c r="K117" s="11">
        <f>IF($A117="","",IF($B117="","",MAX(0,'Settings'!$B$3-$B117)))</f>
        <v/>
      </c>
      <c r="L117" s="11">
        <f>IF($A117="","",IF(OR($H117="Paused",AND($B117&lt;&gt;"",'Settings'!$B$3-$B117&lt;=14)),0,IF($E117/12&gt;=0.75,IF(1-($D117/4)/($E117/12)&gt;=0.3,ROUND(30*(1-($D117/4)/($E117/12)),0),0),0)))</f>
        <v/>
      </c>
      <c r="M117" s="11">
        <f>IF($A117="","",IF(OR($H117="Paused",AND($B117&lt;&gt;"",'Settings'!$B$3-$B117&lt;=14)),0,IF($C117="",12,IF(MAX(0,'Settings'!$B$3-$C117)&lt;=7,0,IF(MAX(0,'Settings'!$B$3-$C117)&lt;=14,6,IF(MAX(0,'Settings'!$B$3-$C117)&lt;=21,12,IF(MAX(0,'Settings'!$B$3-$C117)&lt;=35,18,20)))))))</f>
        <v/>
      </c>
      <c r="N117" s="11">
        <f>IF($A117="","",IF(AND($H117&lt;&gt;"Paused",OR($B117="",'Settings'!$B$3-$B117&gt;14),$L117=0,IF($F117&gt;=2,1-$D117/$F117&gt;=0.5,FALSE)),10,0))</f>
        <v/>
      </c>
      <c r="O117" s="11">
        <f>IF($A117="","",MIN(16,$G117*8))</f>
        <v/>
      </c>
      <c r="P117" s="11">
        <f>IF($A117="","",IF($H117="Paused",14,IF($I117&gt;0,6,0)))</f>
        <v/>
      </c>
      <c r="Q117" s="11">
        <f>IF($A117="","",IF($H117="Ended",30,0))</f>
        <v/>
      </c>
      <c r="R117" s="11">
        <f>IF($A117="","",MIN(15,$J117*8))</f>
        <v/>
      </c>
      <c r="S117" s="11">
        <f>IF($A117="","",IF(AND($B117&lt;&gt;"",$K117&lt;90,SUM($L117:$N117)&gt;0),ROUND(0.25*SUM($L117:$N117),0),0))</f>
        <v/>
      </c>
      <c r="T117" s="11">
        <f>IF($A117="","",MIN(100,SUM($L117:$S117)))</f>
        <v/>
      </c>
      <c r="U117" s="12">
        <f>IF($A117="","",IF($T117&lt;25,"Safe",IF($T117&lt;50,"Watch","At-risk")))</f>
        <v/>
      </c>
      <c r="V117" s="12">
        <f>IF($A117="","",IF($T117=0,"—",INDEX($L$1:$S$1,1,MATCH(MAX($L117:$S117),$L117:$S117,0))))</f>
        <v/>
      </c>
    </row>
    <row r="118">
      <c r="A118" s="13" t="n"/>
      <c r="B118" s="9" t="n"/>
      <c r="C118" s="9" t="n"/>
      <c r="D118" s="10" t="n"/>
      <c r="E118" s="10" t="n"/>
      <c r="F118" s="10" t="n"/>
      <c r="G118" s="10" t="n"/>
      <c r="H118" s="13" t="n"/>
      <c r="I118" s="10" t="n"/>
      <c r="J118" s="10" t="n"/>
      <c r="K118" s="11">
        <f>IF($A118="","",IF($B118="","",MAX(0,'Settings'!$B$3-$B118)))</f>
        <v/>
      </c>
      <c r="L118" s="11">
        <f>IF($A118="","",IF(OR($H118="Paused",AND($B118&lt;&gt;"",'Settings'!$B$3-$B118&lt;=14)),0,IF($E118/12&gt;=0.75,IF(1-($D118/4)/($E118/12)&gt;=0.3,ROUND(30*(1-($D118/4)/($E118/12)),0),0),0)))</f>
        <v/>
      </c>
      <c r="M118" s="11">
        <f>IF($A118="","",IF(OR($H118="Paused",AND($B118&lt;&gt;"",'Settings'!$B$3-$B118&lt;=14)),0,IF($C118="",12,IF(MAX(0,'Settings'!$B$3-$C118)&lt;=7,0,IF(MAX(0,'Settings'!$B$3-$C118)&lt;=14,6,IF(MAX(0,'Settings'!$B$3-$C118)&lt;=21,12,IF(MAX(0,'Settings'!$B$3-$C118)&lt;=35,18,20)))))))</f>
        <v/>
      </c>
      <c r="N118" s="11">
        <f>IF($A118="","",IF(AND($H118&lt;&gt;"Paused",OR($B118="",'Settings'!$B$3-$B118&gt;14),$L118=0,IF($F118&gt;=2,1-$D118/$F118&gt;=0.5,FALSE)),10,0))</f>
        <v/>
      </c>
      <c r="O118" s="11">
        <f>IF($A118="","",MIN(16,$G118*8))</f>
        <v/>
      </c>
      <c r="P118" s="11">
        <f>IF($A118="","",IF($H118="Paused",14,IF($I118&gt;0,6,0)))</f>
        <v/>
      </c>
      <c r="Q118" s="11">
        <f>IF($A118="","",IF($H118="Ended",30,0))</f>
        <v/>
      </c>
      <c r="R118" s="11">
        <f>IF($A118="","",MIN(15,$J118*8))</f>
        <v/>
      </c>
      <c r="S118" s="11">
        <f>IF($A118="","",IF(AND($B118&lt;&gt;"",$K118&lt;90,SUM($L118:$N118)&gt;0),ROUND(0.25*SUM($L118:$N118),0),0))</f>
        <v/>
      </c>
      <c r="T118" s="11">
        <f>IF($A118="","",MIN(100,SUM($L118:$S118)))</f>
        <v/>
      </c>
      <c r="U118" s="12">
        <f>IF($A118="","",IF($T118&lt;25,"Safe",IF($T118&lt;50,"Watch","At-risk")))</f>
        <v/>
      </c>
      <c r="V118" s="12">
        <f>IF($A118="","",IF($T118=0,"—",INDEX($L$1:$S$1,1,MATCH(MAX($L118:$S118),$L118:$S118,0))))</f>
        <v/>
      </c>
    </row>
    <row r="119">
      <c r="A119" s="13" t="n"/>
      <c r="B119" s="9" t="n"/>
      <c r="C119" s="9" t="n"/>
      <c r="D119" s="10" t="n"/>
      <c r="E119" s="10" t="n"/>
      <c r="F119" s="10" t="n"/>
      <c r="G119" s="10" t="n"/>
      <c r="H119" s="13" t="n"/>
      <c r="I119" s="10" t="n"/>
      <c r="J119" s="10" t="n"/>
      <c r="K119" s="11">
        <f>IF($A119="","",IF($B119="","",MAX(0,'Settings'!$B$3-$B119)))</f>
        <v/>
      </c>
      <c r="L119" s="11">
        <f>IF($A119="","",IF(OR($H119="Paused",AND($B119&lt;&gt;"",'Settings'!$B$3-$B119&lt;=14)),0,IF($E119/12&gt;=0.75,IF(1-($D119/4)/($E119/12)&gt;=0.3,ROUND(30*(1-($D119/4)/($E119/12)),0),0),0)))</f>
        <v/>
      </c>
      <c r="M119" s="11">
        <f>IF($A119="","",IF(OR($H119="Paused",AND($B119&lt;&gt;"",'Settings'!$B$3-$B119&lt;=14)),0,IF($C119="",12,IF(MAX(0,'Settings'!$B$3-$C119)&lt;=7,0,IF(MAX(0,'Settings'!$B$3-$C119)&lt;=14,6,IF(MAX(0,'Settings'!$B$3-$C119)&lt;=21,12,IF(MAX(0,'Settings'!$B$3-$C119)&lt;=35,18,20)))))))</f>
        <v/>
      </c>
      <c r="N119" s="11">
        <f>IF($A119="","",IF(AND($H119&lt;&gt;"Paused",OR($B119="",'Settings'!$B$3-$B119&gt;14),$L119=0,IF($F119&gt;=2,1-$D119/$F119&gt;=0.5,FALSE)),10,0))</f>
        <v/>
      </c>
      <c r="O119" s="11">
        <f>IF($A119="","",MIN(16,$G119*8))</f>
        <v/>
      </c>
      <c r="P119" s="11">
        <f>IF($A119="","",IF($H119="Paused",14,IF($I119&gt;0,6,0)))</f>
        <v/>
      </c>
      <c r="Q119" s="11">
        <f>IF($A119="","",IF($H119="Ended",30,0))</f>
        <v/>
      </c>
      <c r="R119" s="11">
        <f>IF($A119="","",MIN(15,$J119*8))</f>
        <v/>
      </c>
      <c r="S119" s="11">
        <f>IF($A119="","",IF(AND($B119&lt;&gt;"",$K119&lt;90,SUM($L119:$N119)&gt;0),ROUND(0.25*SUM($L119:$N119),0),0))</f>
        <v/>
      </c>
      <c r="T119" s="11">
        <f>IF($A119="","",MIN(100,SUM($L119:$S119)))</f>
        <v/>
      </c>
      <c r="U119" s="12">
        <f>IF($A119="","",IF($T119&lt;25,"Safe",IF($T119&lt;50,"Watch","At-risk")))</f>
        <v/>
      </c>
      <c r="V119" s="12">
        <f>IF($A119="","",IF($T119=0,"—",INDEX($L$1:$S$1,1,MATCH(MAX($L119:$S119),$L119:$S119,0))))</f>
        <v/>
      </c>
    </row>
    <row r="120">
      <c r="A120" s="13" t="n"/>
      <c r="B120" s="9" t="n"/>
      <c r="C120" s="9" t="n"/>
      <c r="D120" s="10" t="n"/>
      <c r="E120" s="10" t="n"/>
      <c r="F120" s="10" t="n"/>
      <c r="G120" s="10" t="n"/>
      <c r="H120" s="13" t="n"/>
      <c r="I120" s="10" t="n"/>
      <c r="J120" s="10" t="n"/>
      <c r="K120" s="11">
        <f>IF($A120="","",IF($B120="","",MAX(0,'Settings'!$B$3-$B120)))</f>
        <v/>
      </c>
      <c r="L120" s="11">
        <f>IF($A120="","",IF(OR($H120="Paused",AND($B120&lt;&gt;"",'Settings'!$B$3-$B120&lt;=14)),0,IF($E120/12&gt;=0.75,IF(1-($D120/4)/($E120/12)&gt;=0.3,ROUND(30*(1-($D120/4)/($E120/12)),0),0),0)))</f>
        <v/>
      </c>
      <c r="M120" s="11">
        <f>IF($A120="","",IF(OR($H120="Paused",AND($B120&lt;&gt;"",'Settings'!$B$3-$B120&lt;=14)),0,IF($C120="",12,IF(MAX(0,'Settings'!$B$3-$C120)&lt;=7,0,IF(MAX(0,'Settings'!$B$3-$C120)&lt;=14,6,IF(MAX(0,'Settings'!$B$3-$C120)&lt;=21,12,IF(MAX(0,'Settings'!$B$3-$C120)&lt;=35,18,20)))))))</f>
        <v/>
      </c>
      <c r="N120" s="11">
        <f>IF($A120="","",IF(AND($H120&lt;&gt;"Paused",OR($B120="",'Settings'!$B$3-$B120&gt;14),$L120=0,IF($F120&gt;=2,1-$D120/$F120&gt;=0.5,FALSE)),10,0))</f>
        <v/>
      </c>
      <c r="O120" s="11">
        <f>IF($A120="","",MIN(16,$G120*8))</f>
        <v/>
      </c>
      <c r="P120" s="11">
        <f>IF($A120="","",IF($H120="Paused",14,IF($I120&gt;0,6,0)))</f>
        <v/>
      </c>
      <c r="Q120" s="11">
        <f>IF($A120="","",IF($H120="Ended",30,0))</f>
        <v/>
      </c>
      <c r="R120" s="11">
        <f>IF($A120="","",MIN(15,$J120*8))</f>
        <v/>
      </c>
      <c r="S120" s="11">
        <f>IF($A120="","",IF(AND($B120&lt;&gt;"",$K120&lt;90,SUM($L120:$N120)&gt;0),ROUND(0.25*SUM($L120:$N120),0),0))</f>
        <v/>
      </c>
      <c r="T120" s="11">
        <f>IF($A120="","",MIN(100,SUM($L120:$S120)))</f>
        <v/>
      </c>
      <c r="U120" s="12">
        <f>IF($A120="","",IF($T120&lt;25,"Safe",IF($T120&lt;50,"Watch","At-risk")))</f>
        <v/>
      </c>
      <c r="V120" s="12">
        <f>IF($A120="","",IF($T120=0,"—",INDEX($L$1:$S$1,1,MATCH(MAX($L120:$S120),$L120:$S120,0))))</f>
        <v/>
      </c>
    </row>
    <row r="121">
      <c r="A121" s="13" t="n"/>
      <c r="B121" s="9" t="n"/>
      <c r="C121" s="9" t="n"/>
      <c r="D121" s="10" t="n"/>
      <c r="E121" s="10" t="n"/>
      <c r="F121" s="10" t="n"/>
      <c r="G121" s="10" t="n"/>
      <c r="H121" s="13" t="n"/>
      <c r="I121" s="10" t="n"/>
      <c r="J121" s="10" t="n"/>
      <c r="K121" s="11">
        <f>IF($A121="","",IF($B121="","",MAX(0,'Settings'!$B$3-$B121)))</f>
        <v/>
      </c>
      <c r="L121" s="11">
        <f>IF($A121="","",IF(OR($H121="Paused",AND($B121&lt;&gt;"",'Settings'!$B$3-$B121&lt;=14)),0,IF($E121/12&gt;=0.75,IF(1-($D121/4)/($E121/12)&gt;=0.3,ROUND(30*(1-($D121/4)/($E121/12)),0),0),0)))</f>
        <v/>
      </c>
      <c r="M121" s="11">
        <f>IF($A121="","",IF(OR($H121="Paused",AND($B121&lt;&gt;"",'Settings'!$B$3-$B121&lt;=14)),0,IF($C121="",12,IF(MAX(0,'Settings'!$B$3-$C121)&lt;=7,0,IF(MAX(0,'Settings'!$B$3-$C121)&lt;=14,6,IF(MAX(0,'Settings'!$B$3-$C121)&lt;=21,12,IF(MAX(0,'Settings'!$B$3-$C121)&lt;=35,18,20)))))))</f>
        <v/>
      </c>
      <c r="N121" s="11">
        <f>IF($A121="","",IF(AND($H121&lt;&gt;"Paused",OR($B121="",'Settings'!$B$3-$B121&gt;14),$L121=0,IF($F121&gt;=2,1-$D121/$F121&gt;=0.5,FALSE)),10,0))</f>
        <v/>
      </c>
      <c r="O121" s="11">
        <f>IF($A121="","",MIN(16,$G121*8))</f>
        <v/>
      </c>
      <c r="P121" s="11">
        <f>IF($A121="","",IF($H121="Paused",14,IF($I121&gt;0,6,0)))</f>
        <v/>
      </c>
      <c r="Q121" s="11">
        <f>IF($A121="","",IF($H121="Ended",30,0))</f>
        <v/>
      </c>
      <c r="R121" s="11">
        <f>IF($A121="","",MIN(15,$J121*8))</f>
        <v/>
      </c>
      <c r="S121" s="11">
        <f>IF($A121="","",IF(AND($B121&lt;&gt;"",$K121&lt;90,SUM($L121:$N121)&gt;0),ROUND(0.25*SUM($L121:$N121),0),0))</f>
        <v/>
      </c>
      <c r="T121" s="11">
        <f>IF($A121="","",MIN(100,SUM($L121:$S121)))</f>
        <v/>
      </c>
      <c r="U121" s="12">
        <f>IF($A121="","",IF($T121&lt;25,"Safe",IF($T121&lt;50,"Watch","At-risk")))</f>
        <v/>
      </c>
      <c r="V121" s="12">
        <f>IF($A121="","",IF($T121=0,"—",INDEX($L$1:$S$1,1,MATCH(MAX($L121:$S121),$L121:$S121,0))))</f>
        <v/>
      </c>
    </row>
    <row r="122">
      <c r="A122" s="13" t="n"/>
      <c r="B122" s="9" t="n"/>
      <c r="C122" s="9" t="n"/>
      <c r="D122" s="10" t="n"/>
      <c r="E122" s="10" t="n"/>
      <c r="F122" s="10" t="n"/>
      <c r="G122" s="10" t="n"/>
      <c r="H122" s="13" t="n"/>
      <c r="I122" s="10" t="n"/>
      <c r="J122" s="10" t="n"/>
      <c r="K122" s="11">
        <f>IF($A122="","",IF($B122="","",MAX(0,'Settings'!$B$3-$B122)))</f>
        <v/>
      </c>
      <c r="L122" s="11">
        <f>IF($A122="","",IF(OR($H122="Paused",AND($B122&lt;&gt;"",'Settings'!$B$3-$B122&lt;=14)),0,IF($E122/12&gt;=0.75,IF(1-($D122/4)/($E122/12)&gt;=0.3,ROUND(30*(1-($D122/4)/($E122/12)),0),0),0)))</f>
        <v/>
      </c>
      <c r="M122" s="11">
        <f>IF($A122="","",IF(OR($H122="Paused",AND($B122&lt;&gt;"",'Settings'!$B$3-$B122&lt;=14)),0,IF($C122="",12,IF(MAX(0,'Settings'!$B$3-$C122)&lt;=7,0,IF(MAX(0,'Settings'!$B$3-$C122)&lt;=14,6,IF(MAX(0,'Settings'!$B$3-$C122)&lt;=21,12,IF(MAX(0,'Settings'!$B$3-$C122)&lt;=35,18,20)))))))</f>
        <v/>
      </c>
      <c r="N122" s="11">
        <f>IF($A122="","",IF(AND($H122&lt;&gt;"Paused",OR($B122="",'Settings'!$B$3-$B122&gt;14),$L122=0,IF($F122&gt;=2,1-$D122/$F122&gt;=0.5,FALSE)),10,0))</f>
        <v/>
      </c>
      <c r="O122" s="11">
        <f>IF($A122="","",MIN(16,$G122*8))</f>
        <v/>
      </c>
      <c r="P122" s="11">
        <f>IF($A122="","",IF($H122="Paused",14,IF($I122&gt;0,6,0)))</f>
        <v/>
      </c>
      <c r="Q122" s="11">
        <f>IF($A122="","",IF($H122="Ended",30,0))</f>
        <v/>
      </c>
      <c r="R122" s="11">
        <f>IF($A122="","",MIN(15,$J122*8))</f>
        <v/>
      </c>
      <c r="S122" s="11">
        <f>IF($A122="","",IF(AND($B122&lt;&gt;"",$K122&lt;90,SUM($L122:$N122)&gt;0),ROUND(0.25*SUM($L122:$N122),0),0))</f>
        <v/>
      </c>
      <c r="T122" s="11">
        <f>IF($A122="","",MIN(100,SUM($L122:$S122)))</f>
        <v/>
      </c>
      <c r="U122" s="12">
        <f>IF($A122="","",IF($T122&lt;25,"Safe",IF($T122&lt;50,"Watch","At-risk")))</f>
        <v/>
      </c>
      <c r="V122" s="12">
        <f>IF($A122="","",IF($T122=0,"—",INDEX($L$1:$S$1,1,MATCH(MAX($L122:$S122),$L122:$S122,0))))</f>
        <v/>
      </c>
    </row>
    <row r="123">
      <c r="A123" s="13" t="n"/>
      <c r="B123" s="9" t="n"/>
      <c r="C123" s="9" t="n"/>
      <c r="D123" s="10" t="n"/>
      <c r="E123" s="10" t="n"/>
      <c r="F123" s="10" t="n"/>
      <c r="G123" s="10" t="n"/>
      <c r="H123" s="13" t="n"/>
      <c r="I123" s="10" t="n"/>
      <c r="J123" s="10" t="n"/>
      <c r="K123" s="11">
        <f>IF($A123="","",IF($B123="","",MAX(0,'Settings'!$B$3-$B123)))</f>
        <v/>
      </c>
      <c r="L123" s="11">
        <f>IF($A123="","",IF(OR($H123="Paused",AND($B123&lt;&gt;"",'Settings'!$B$3-$B123&lt;=14)),0,IF($E123/12&gt;=0.75,IF(1-($D123/4)/($E123/12)&gt;=0.3,ROUND(30*(1-($D123/4)/($E123/12)),0),0),0)))</f>
        <v/>
      </c>
      <c r="M123" s="11">
        <f>IF($A123="","",IF(OR($H123="Paused",AND($B123&lt;&gt;"",'Settings'!$B$3-$B123&lt;=14)),0,IF($C123="",12,IF(MAX(0,'Settings'!$B$3-$C123)&lt;=7,0,IF(MAX(0,'Settings'!$B$3-$C123)&lt;=14,6,IF(MAX(0,'Settings'!$B$3-$C123)&lt;=21,12,IF(MAX(0,'Settings'!$B$3-$C123)&lt;=35,18,20)))))))</f>
        <v/>
      </c>
      <c r="N123" s="11">
        <f>IF($A123="","",IF(AND($H123&lt;&gt;"Paused",OR($B123="",'Settings'!$B$3-$B123&gt;14),$L123=0,IF($F123&gt;=2,1-$D123/$F123&gt;=0.5,FALSE)),10,0))</f>
        <v/>
      </c>
      <c r="O123" s="11">
        <f>IF($A123="","",MIN(16,$G123*8))</f>
        <v/>
      </c>
      <c r="P123" s="11">
        <f>IF($A123="","",IF($H123="Paused",14,IF($I123&gt;0,6,0)))</f>
        <v/>
      </c>
      <c r="Q123" s="11">
        <f>IF($A123="","",IF($H123="Ended",30,0))</f>
        <v/>
      </c>
      <c r="R123" s="11">
        <f>IF($A123="","",MIN(15,$J123*8))</f>
        <v/>
      </c>
      <c r="S123" s="11">
        <f>IF($A123="","",IF(AND($B123&lt;&gt;"",$K123&lt;90,SUM($L123:$N123)&gt;0),ROUND(0.25*SUM($L123:$N123),0),0))</f>
        <v/>
      </c>
      <c r="T123" s="11">
        <f>IF($A123="","",MIN(100,SUM($L123:$S123)))</f>
        <v/>
      </c>
      <c r="U123" s="12">
        <f>IF($A123="","",IF($T123&lt;25,"Safe",IF($T123&lt;50,"Watch","At-risk")))</f>
        <v/>
      </c>
      <c r="V123" s="12">
        <f>IF($A123="","",IF($T123=0,"—",INDEX($L$1:$S$1,1,MATCH(MAX($L123:$S123),$L123:$S123,0))))</f>
        <v/>
      </c>
    </row>
    <row r="124">
      <c r="A124" s="13" t="n"/>
      <c r="B124" s="9" t="n"/>
      <c r="C124" s="9" t="n"/>
      <c r="D124" s="10" t="n"/>
      <c r="E124" s="10" t="n"/>
      <c r="F124" s="10" t="n"/>
      <c r="G124" s="10" t="n"/>
      <c r="H124" s="13" t="n"/>
      <c r="I124" s="10" t="n"/>
      <c r="J124" s="10" t="n"/>
      <c r="K124" s="11">
        <f>IF($A124="","",IF($B124="","",MAX(0,'Settings'!$B$3-$B124)))</f>
        <v/>
      </c>
      <c r="L124" s="11">
        <f>IF($A124="","",IF(OR($H124="Paused",AND($B124&lt;&gt;"",'Settings'!$B$3-$B124&lt;=14)),0,IF($E124/12&gt;=0.75,IF(1-($D124/4)/($E124/12)&gt;=0.3,ROUND(30*(1-($D124/4)/($E124/12)),0),0),0)))</f>
        <v/>
      </c>
      <c r="M124" s="11">
        <f>IF($A124="","",IF(OR($H124="Paused",AND($B124&lt;&gt;"",'Settings'!$B$3-$B124&lt;=14)),0,IF($C124="",12,IF(MAX(0,'Settings'!$B$3-$C124)&lt;=7,0,IF(MAX(0,'Settings'!$B$3-$C124)&lt;=14,6,IF(MAX(0,'Settings'!$B$3-$C124)&lt;=21,12,IF(MAX(0,'Settings'!$B$3-$C124)&lt;=35,18,20)))))))</f>
        <v/>
      </c>
      <c r="N124" s="11">
        <f>IF($A124="","",IF(AND($H124&lt;&gt;"Paused",OR($B124="",'Settings'!$B$3-$B124&gt;14),$L124=0,IF($F124&gt;=2,1-$D124/$F124&gt;=0.5,FALSE)),10,0))</f>
        <v/>
      </c>
      <c r="O124" s="11">
        <f>IF($A124="","",MIN(16,$G124*8))</f>
        <v/>
      </c>
      <c r="P124" s="11">
        <f>IF($A124="","",IF($H124="Paused",14,IF($I124&gt;0,6,0)))</f>
        <v/>
      </c>
      <c r="Q124" s="11">
        <f>IF($A124="","",IF($H124="Ended",30,0))</f>
        <v/>
      </c>
      <c r="R124" s="11">
        <f>IF($A124="","",MIN(15,$J124*8))</f>
        <v/>
      </c>
      <c r="S124" s="11">
        <f>IF($A124="","",IF(AND($B124&lt;&gt;"",$K124&lt;90,SUM($L124:$N124)&gt;0),ROUND(0.25*SUM($L124:$N124),0),0))</f>
        <v/>
      </c>
      <c r="T124" s="11">
        <f>IF($A124="","",MIN(100,SUM($L124:$S124)))</f>
        <v/>
      </c>
      <c r="U124" s="12">
        <f>IF($A124="","",IF($T124&lt;25,"Safe",IF($T124&lt;50,"Watch","At-risk")))</f>
        <v/>
      </c>
      <c r="V124" s="12">
        <f>IF($A124="","",IF($T124=0,"—",INDEX($L$1:$S$1,1,MATCH(MAX($L124:$S124),$L124:$S124,0))))</f>
        <v/>
      </c>
    </row>
    <row r="125">
      <c r="A125" s="13" t="n"/>
      <c r="B125" s="9" t="n"/>
      <c r="C125" s="9" t="n"/>
      <c r="D125" s="10" t="n"/>
      <c r="E125" s="10" t="n"/>
      <c r="F125" s="10" t="n"/>
      <c r="G125" s="10" t="n"/>
      <c r="H125" s="13" t="n"/>
      <c r="I125" s="10" t="n"/>
      <c r="J125" s="10" t="n"/>
      <c r="K125" s="11">
        <f>IF($A125="","",IF($B125="","",MAX(0,'Settings'!$B$3-$B125)))</f>
        <v/>
      </c>
      <c r="L125" s="11">
        <f>IF($A125="","",IF(OR($H125="Paused",AND($B125&lt;&gt;"",'Settings'!$B$3-$B125&lt;=14)),0,IF($E125/12&gt;=0.75,IF(1-($D125/4)/($E125/12)&gt;=0.3,ROUND(30*(1-($D125/4)/($E125/12)),0),0),0)))</f>
        <v/>
      </c>
      <c r="M125" s="11">
        <f>IF($A125="","",IF(OR($H125="Paused",AND($B125&lt;&gt;"",'Settings'!$B$3-$B125&lt;=14)),0,IF($C125="",12,IF(MAX(0,'Settings'!$B$3-$C125)&lt;=7,0,IF(MAX(0,'Settings'!$B$3-$C125)&lt;=14,6,IF(MAX(0,'Settings'!$B$3-$C125)&lt;=21,12,IF(MAX(0,'Settings'!$B$3-$C125)&lt;=35,18,20)))))))</f>
        <v/>
      </c>
      <c r="N125" s="11">
        <f>IF($A125="","",IF(AND($H125&lt;&gt;"Paused",OR($B125="",'Settings'!$B$3-$B125&gt;14),$L125=0,IF($F125&gt;=2,1-$D125/$F125&gt;=0.5,FALSE)),10,0))</f>
        <v/>
      </c>
      <c r="O125" s="11">
        <f>IF($A125="","",MIN(16,$G125*8))</f>
        <v/>
      </c>
      <c r="P125" s="11">
        <f>IF($A125="","",IF($H125="Paused",14,IF($I125&gt;0,6,0)))</f>
        <v/>
      </c>
      <c r="Q125" s="11">
        <f>IF($A125="","",IF($H125="Ended",30,0))</f>
        <v/>
      </c>
      <c r="R125" s="11">
        <f>IF($A125="","",MIN(15,$J125*8))</f>
        <v/>
      </c>
      <c r="S125" s="11">
        <f>IF($A125="","",IF(AND($B125&lt;&gt;"",$K125&lt;90,SUM($L125:$N125)&gt;0),ROUND(0.25*SUM($L125:$N125),0),0))</f>
        <v/>
      </c>
      <c r="T125" s="11">
        <f>IF($A125="","",MIN(100,SUM($L125:$S125)))</f>
        <v/>
      </c>
      <c r="U125" s="12">
        <f>IF($A125="","",IF($T125&lt;25,"Safe",IF($T125&lt;50,"Watch","At-risk")))</f>
        <v/>
      </c>
      <c r="V125" s="12">
        <f>IF($A125="","",IF($T125=0,"—",INDEX($L$1:$S$1,1,MATCH(MAX($L125:$S125),$L125:$S125,0))))</f>
        <v/>
      </c>
    </row>
    <row r="126">
      <c r="A126" s="13" t="n"/>
      <c r="B126" s="9" t="n"/>
      <c r="C126" s="9" t="n"/>
      <c r="D126" s="10" t="n"/>
      <c r="E126" s="10" t="n"/>
      <c r="F126" s="10" t="n"/>
      <c r="G126" s="10" t="n"/>
      <c r="H126" s="13" t="n"/>
      <c r="I126" s="10" t="n"/>
      <c r="J126" s="10" t="n"/>
      <c r="K126" s="11">
        <f>IF($A126="","",IF($B126="","",MAX(0,'Settings'!$B$3-$B126)))</f>
        <v/>
      </c>
      <c r="L126" s="11">
        <f>IF($A126="","",IF(OR($H126="Paused",AND($B126&lt;&gt;"",'Settings'!$B$3-$B126&lt;=14)),0,IF($E126/12&gt;=0.75,IF(1-($D126/4)/($E126/12)&gt;=0.3,ROUND(30*(1-($D126/4)/($E126/12)),0),0),0)))</f>
        <v/>
      </c>
      <c r="M126" s="11">
        <f>IF($A126="","",IF(OR($H126="Paused",AND($B126&lt;&gt;"",'Settings'!$B$3-$B126&lt;=14)),0,IF($C126="",12,IF(MAX(0,'Settings'!$B$3-$C126)&lt;=7,0,IF(MAX(0,'Settings'!$B$3-$C126)&lt;=14,6,IF(MAX(0,'Settings'!$B$3-$C126)&lt;=21,12,IF(MAX(0,'Settings'!$B$3-$C126)&lt;=35,18,20)))))))</f>
        <v/>
      </c>
      <c r="N126" s="11">
        <f>IF($A126="","",IF(AND($H126&lt;&gt;"Paused",OR($B126="",'Settings'!$B$3-$B126&gt;14),$L126=0,IF($F126&gt;=2,1-$D126/$F126&gt;=0.5,FALSE)),10,0))</f>
        <v/>
      </c>
      <c r="O126" s="11">
        <f>IF($A126="","",MIN(16,$G126*8))</f>
        <v/>
      </c>
      <c r="P126" s="11">
        <f>IF($A126="","",IF($H126="Paused",14,IF($I126&gt;0,6,0)))</f>
        <v/>
      </c>
      <c r="Q126" s="11">
        <f>IF($A126="","",IF($H126="Ended",30,0))</f>
        <v/>
      </c>
      <c r="R126" s="11">
        <f>IF($A126="","",MIN(15,$J126*8))</f>
        <v/>
      </c>
      <c r="S126" s="11">
        <f>IF($A126="","",IF(AND($B126&lt;&gt;"",$K126&lt;90,SUM($L126:$N126)&gt;0),ROUND(0.25*SUM($L126:$N126),0),0))</f>
        <v/>
      </c>
      <c r="T126" s="11">
        <f>IF($A126="","",MIN(100,SUM($L126:$S126)))</f>
        <v/>
      </c>
      <c r="U126" s="12">
        <f>IF($A126="","",IF($T126&lt;25,"Safe",IF($T126&lt;50,"Watch","At-risk")))</f>
        <v/>
      </c>
      <c r="V126" s="12">
        <f>IF($A126="","",IF($T126=0,"—",INDEX($L$1:$S$1,1,MATCH(MAX($L126:$S126),$L126:$S126,0))))</f>
        <v/>
      </c>
    </row>
    <row r="127">
      <c r="A127" s="13" t="n"/>
      <c r="B127" s="9" t="n"/>
      <c r="C127" s="9" t="n"/>
      <c r="D127" s="10" t="n"/>
      <c r="E127" s="10" t="n"/>
      <c r="F127" s="10" t="n"/>
      <c r="G127" s="10" t="n"/>
      <c r="H127" s="13" t="n"/>
      <c r="I127" s="10" t="n"/>
      <c r="J127" s="10" t="n"/>
      <c r="K127" s="11">
        <f>IF($A127="","",IF($B127="","",MAX(0,'Settings'!$B$3-$B127)))</f>
        <v/>
      </c>
      <c r="L127" s="11">
        <f>IF($A127="","",IF(OR($H127="Paused",AND($B127&lt;&gt;"",'Settings'!$B$3-$B127&lt;=14)),0,IF($E127/12&gt;=0.75,IF(1-($D127/4)/($E127/12)&gt;=0.3,ROUND(30*(1-($D127/4)/($E127/12)),0),0),0)))</f>
        <v/>
      </c>
      <c r="M127" s="11">
        <f>IF($A127="","",IF(OR($H127="Paused",AND($B127&lt;&gt;"",'Settings'!$B$3-$B127&lt;=14)),0,IF($C127="",12,IF(MAX(0,'Settings'!$B$3-$C127)&lt;=7,0,IF(MAX(0,'Settings'!$B$3-$C127)&lt;=14,6,IF(MAX(0,'Settings'!$B$3-$C127)&lt;=21,12,IF(MAX(0,'Settings'!$B$3-$C127)&lt;=35,18,20)))))))</f>
        <v/>
      </c>
      <c r="N127" s="11">
        <f>IF($A127="","",IF(AND($H127&lt;&gt;"Paused",OR($B127="",'Settings'!$B$3-$B127&gt;14),$L127=0,IF($F127&gt;=2,1-$D127/$F127&gt;=0.5,FALSE)),10,0))</f>
        <v/>
      </c>
      <c r="O127" s="11">
        <f>IF($A127="","",MIN(16,$G127*8))</f>
        <v/>
      </c>
      <c r="P127" s="11">
        <f>IF($A127="","",IF($H127="Paused",14,IF($I127&gt;0,6,0)))</f>
        <v/>
      </c>
      <c r="Q127" s="11">
        <f>IF($A127="","",IF($H127="Ended",30,0))</f>
        <v/>
      </c>
      <c r="R127" s="11">
        <f>IF($A127="","",MIN(15,$J127*8))</f>
        <v/>
      </c>
      <c r="S127" s="11">
        <f>IF($A127="","",IF(AND($B127&lt;&gt;"",$K127&lt;90,SUM($L127:$N127)&gt;0),ROUND(0.25*SUM($L127:$N127),0),0))</f>
        <v/>
      </c>
      <c r="T127" s="11">
        <f>IF($A127="","",MIN(100,SUM($L127:$S127)))</f>
        <v/>
      </c>
      <c r="U127" s="12">
        <f>IF($A127="","",IF($T127&lt;25,"Safe",IF($T127&lt;50,"Watch","At-risk")))</f>
        <v/>
      </c>
      <c r="V127" s="12">
        <f>IF($A127="","",IF($T127=0,"—",INDEX($L$1:$S$1,1,MATCH(MAX($L127:$S127),$L127:$S127,0))))</f>
        <v/>
      </c>
    </row>
    <row r="128">
      <c r="A128" s="13" t="n"/>
      <c r="B128" s="9" t="n"/>
      <c r="C128" s="9" t="n"/>
      <c r="D128" s="10" t="n"/>
      <c r="E128" s="10" t="n"/>
      <c r="F128" s="10" t="n"/>
      <c r="G128" s="10" t="n"/>
      <c r="H128" s="13" t="n"/>
      <c r="I128" s="10" t="n"/>
      <c r="J128" s="10" t="n"/>
      <c r="K128" s="11">
        <f>IF($A128="","",IF($B128="","",MAX(0,'Settings'!$B$3-$B128)))</f>
        <v/>
      </c>
      <c r="L128" s="11">
        <f>IF($A128="","",IF(OR($H128="Paused",AND($B128&lt;&gt;"",'Settings'!$B$3-$B128&lt;=14)),0,IF($E128/12&gt;=0.75,IF(1-($D128/4)/($E128/12)&gt;=0.3,ROUND(30*(1-($D128/4)/($E128/12)),0),0),0)))</f>
        <v/>
      </c>
      <c r="M128" s="11">
        <f>IF($A128="","",IF(OR($H128="Paused",AND($B128&lt;&gt;"",'Settings'!$B$3-$B128&lt;=14)),0,IF($C128="",12,IF(MAX(0,'Settings'!$B$3-$C128)&lt;=7,0,IF(MAX(0,'Settings'!$B$3-$C128)&lt;=14,6,IF(MAX(0,'Settings'!$B$3-$C128)&lt;=21,12,IF(MAX(0,'Settings'!$B$3-$C128)&lt;=35,18,20)))))))</f>
        <v/>
      </c>
      <c r="N128" s="11">
        <f>IF($A128="","",IF(AND($H128&lt;&gt;"Paused",OR($B128="",'Settings'!$B$3-$B128&gt;14),$L128=0,IF($F128&gt;=2,1-$D128/$F128&gt;=0.5,FALSE)),10,0))</f>
        <v/>
      </c>
      <c r="O128" s="11">
        <f>IF($A128="","",MIN(16,$G128*8))</f>
        <v/>
      </c>
      <c r="P128" s="11">
        <f>IF($A128="","",IF($H128="Paused",14,IF($I128&gt;0,6,0)))</f>
        <v/>
      </c>
      <c r="Q128" s="11">
        <f>IF($A128="","",IF($H128="Ended",30,0))</f>
        <v/>
      </c>
      <c r="R128" s="11">
        <f>IF($A128="","",MIN(15,$J128*8))</f>
        <v/>
      </c>
      <c r="S128" s="11">
        <f>IF($A128="","",IF(AND($B128&lt;&gt;"",$K128&lt;90,SUM($L128:$N128)&gt;0),ROUND(0.25*SUM($L128:$N128),0),0))</f>
        <v/>
      </c>
      <c r="T128" s="11">
        <f>IF($A128="","",MIN(100,SUM($L128:$S128)))</f>
        <v/>
      </c>
      <c r="U128" s="12">
        <f>IF($A128="","",IF($T128&lt;25,"Safe",IF($T128&lt;50,"Watch","At-risk")))</f>
        <v/>
      </c>
      <c r="V128" s="12">
        <f>IF($A128="","",IF($T128=0,"—",INDEX($L$1:$S$1,1,MATCH(MAX($L128:$S128),$L128:$S128,0))))</f>
        <v/>
      </c>
    </row>
    <row r="129">
      <c r="A129" s="13" t="n"/>
      <c r="B129" s="9" t="n"/>
      <c r="C129" s="9" t="n"/>
      <c r="D129" s="10" t="n"/>
      <c r="E129" s="10" t="n"/>
      <c r="F129" s="10" t="n"/>
      <c r="G129" s="10" t="n"/>
      <c r="H129" s="13" t="n"/>
      <c r="I129" s="10" t="n"/>
      <c r="J129" s="10" t="n"/>
      <c r="K129" s="11">
        <f>IF($A129="","",IF($B129="","",MAX(0,'Settings'!$B$3-$B129)))</f>
        <v/>
      </c>
      <c r="L129" s="11">
        <f>IF($A129="","",IF(OR($H129="Paused",AND($B129&lt;&gt;"",'Settings'!$B$3-$B129&lt;=14)),0,IF($E129/12&gt;=0.75,IF(1-($D129/4)/($E129/12)&gt;=0.3,ROUND(30*(1-($D129/4)/($E129/12)),0),0),0)))</f>
        <v/>
      </c>
      <c r="M129" s="11">
        <f>IF($A129="","",IF(OR($H129="Paused",AND($B129&lt;&gt;"",'Settings'!$B$3-$B129&lt;=14)),0,IF($C129="",12,IF(MAX(0,'Settings'!$B$3-$C129)&lt;=7,0,IF(MAX(0,'Settings'!$B$3-$C129)&lt;=14,6,IF(MAX(0,'Settings'!$B$3-$C129)&lt;=21,12,IF(MAX(0,'Settings'!$B$3-$C129)&lt;=35,18,20)))))))</f>
        <v/>
      </c>
      <c r="N129" s="11">
        <f>IF($A129="","",IF(AND($H129&lt;&gt;"Paused",OR($B129="",'Settings'!$B$3-$B129&gt;14),$L129=0,IF($F129&gt;=2,1-$D129/$F129&gt;=0.5,FALSE)),10,0))</f>
        <v/>
      </c>
      <c r="O129" s="11">
        <f>IF($A129="","",MIN(16,$G129*8))</f>
        <v/>
      </c>
      <c r="P129" s="11">
        <f>IF($A129="","",IF($H129="Paused",14,IF($I129&gt;0,6,0)))</f>
        <v/>
      </c>
      <c r="Q129" s="11">
        <f>IF($A129="","",IF($H129="Ended",30,0))</f>
        <v/>
      </c>
      <c r="R129" s="11">
        <f>IF($A129="","",MIN(15,$J129*8))</f>
        <v/>
      </c>
      <c r="S129" s="11">
        <f>IF($A129="","",IF(AND($B129&lt;&gt;"",$K129&lt;90,SUM($L129:$N129)&gt;0),ROUND(0.25*SUM($L129:$N129),0),0))</f>
        <v/>
      </c>
      <c r="T129" s="11">
        <f>IF($A129="","",MIN(100,SUM($L129:$S129)))</f>
        <v/>
      </c>
      <c r="U129" s="12">
        <f>IF($A129="","",IF($T129&lt;25,"Safe",IF($T129&lt;50,"Watch","At-risk")))</f>
        <v/>
      </c>
      <c r="V129" s="12">
        <f>IF($A129="","",IF($T129=0,"—",INDEX($L$1:$S$1,1,MATCH(MAX($L129:$S129),$L129:$S129,0))))</f>
        <v/>
      </c>
    </row>
    <row r="130">
      <c r="A130" s="13" t="n"/>
      <c r="B130" s="9" t="n"/>
      <c r="C130" s="9" t="n"/>
      <c r="D130" s="10" t="n"/>
      <c r="E130" s="10" t="n"/>
      <c r="F130" s="10" t="n"/>
      <c r="G130" s="10" t="n"/>
      <c r="H130" s="13" t="n"/>
      <c r="I130" s="10" t="n"/>
      <c r="J130" s="10" t="n"/>
      <c r="K130" s="11">
        <f>IF($A130="","",IF($B130="","",MAX(0,'Settings'!$B$3-$B130)))</f>
        <v/>
      </c>
      <c r="L130" s="11">
        <f>IF($A130="","",IF(OR($H130="Paused",AND($B130&lt;&gt;"",'Settings'!$B$3-$B130&lt;=14)),0,IF($E130/12&gt;=0.75,IF(1-($D130/4)/($E130/12)&gt;=0.3,ROUND(30*(1-($D130/4)/($E130/12)),0),0),0)))</f>
        <v/>
      </c>
      <c r="M130" s="11">
        <f>IF($A130="","",IF(OR($H130="Paused",AND($B130&lt;&gt;"",'Settings'!$B$3-$B130&lt;=14)),0,IF($C130="",12,IF(MAX(0,'Settings'!$B$3-$C130)&lt;=7,0,IF(MAX(0,'Settings'!$B$3-$C130)&lt;=14,6,IF(MAX(0,'Settings'!$B$3-$C130)&lt;=21,12,IF(MAX(0,'Settings'!$B$3-$C130)&lt;=35,18,20)))))))</f>
        <v/>
      </c>
      <c r="N130" s="11">
        <f>IF($A130="","",IF(AND($H130&lt;&gt;"Paused",OR($B130="",'Settings'!$B$3-$B130&gt;14),$L130=0,IF($F130&gt;=2,1-$D130/$F130&gt;=0.5,FALSE)),10,0))</f>
        <v/>
      </c>
      <c r="O130" s="11">
        <f>IF($A130="","",MIN(16,$G130*8))</f>
        <v/>
      </c>
      <c r="P130" s="11">
        <f>IF($A130="","",IF($H130="Paused",14,IF($I130&gt;0,6,0)))</f>
        <v/>
      </c>
      <c r="Q130" s="11">
        <f>IF($A130="","",IF($H130="Ended",30,0))</f>
        <v/>
      </c>
      <c r="R130" s="11">
        <f>IF($A130="","",MIN(15,$J130*8))</f>
        <v/>
      </c>
      <c r="S130" s="11">
        <f>IF($A130="","",IF(AND($B130&lt;&gt;"",$K130&lt;90,SUM($L130:$N130)&gt;0),ROUND(0.25*SUM($L130:$N130),0),0))</f>
        <v/>
      </c>
      <c r="T130" s="11">
        <f>IF($A130="","",MIN(100,SUM($L130:$S130)))</f>
        <v/>
      </c>
      <c r="U130" s="12">
        <f>IF($A130="","",IF($T130&lt;25,"Safe",IF($T130&lt;50,"Watch","At-risk")))</f>
        <v/>
      </c>
      <c r="V130" s="12">
        <f>IF($A130="","",IF($T130=0,"—",INDEX($L$1:$S$1,1,MATCH(MAX($L130:$S130),$L130:$S130,0))))</f>
        <v/>
      </c>
    </row>
    <row r="131">
      <c r="A131" s="13" t="n"/>
      <c r="B131" s="9" t="n"/>
      <c r="C131" s="9" t="n"/>
      <c r="D131" s="10" t="n"/>
      <c r="E131" s="10" t="n"/>
      <c r="F131" s="10" t="n"/>
      <c r="G131" s="10" t="n"/>
      <c r="H131" s="13" t="n"/>
      <c r="I131" s="10" t="n"/>
      <c r="J131" s="10" t="n"/>
      <c r="K131" s="11">
        <f>IF($A131="","",IF($B131="","",MAX(0,'Settings'!$B$3-$B131)))</f>
        <v/>
      </c>
      <c r="L131" s="11">
        <f>IF($A131="","",IF(OR($H131="Paused",AND($B131&lt;&gt;"",'Settings'!$B$3-$B131&lt;=14)),0,IF($E131/12&gt;=0.75,IF(1-($D131/4)/($E131/12)&gt;=0.3,ROUND(30*(1-($D131/4)/($E131/12)),0),0),0)))</f>
        <v/>
      </c>
      <c r="M131" s="11">
        <f>IF($A131="","",IF(OR($H131="Paused",AND($B131&lt;&gt;"",'Settings'!$B$3-$B131&lt;=14)),0,IF($C131="",12,IF(MAX(0,'Settings'!$B$3-$C131)&lt;=7,0,IF(MAX(0,'Settings'!$B$3-$C131)&lt;=14,6,IF(MAX(0,'Settings'!$B$3-$C131)&lt;=21,12,IF(MAX(0,'Settings'!$B$3-$C131)&lt;=35,18,20)))))))</f>
        <v/>
      </c>
      <c r="N131" s="11">
        <f>IF($A131="","",IF(AND($H131&lt;&gt;"Paused",OR($B131="",'Settings'!$B$3-$B131&gt;14),$L131=0,IF($F131&gt;=2,1-$D131/$F131&gt;=0.5,FALSE)),10,0))</f>
        <v/>
      </c>
      <c r="O131" s="11">
        <f>IF($A131="","",MIN(16,$G131*8))</f>
        <v/>
      </c>
      <c r="P131" s="11">
        <f>IF($A131="","",IF($H131="Paused",14,IF($I131&gt;0,6,0)))</f>
        <v/>
      </c>
      <c r="Q131" s="11">
        <f>IF($A131="","",IF($H131="Ended",30,0))</f>
        <v/>
      </c>
      <c r="R131" s="11">
        <f>IF($A131="","",MIN(15,$J131*8))</f>
        <v/>
      </c>
      <c r="S131" s="11">
        <f>IF($A131="","",IF(AND($B131&lt;&gt;"",$K131&lt;90,SUM($L131:$N131)&gt;0),ROUND(0.25*SUM($L131:$N131),0),0))</f>
        <v/>
      </c>
      <c r="T131" s="11">
        <f>IF($A131="","",MIN(100,SUM($L131:$S131)))</f>
        <v/>
      </c>
      <c r="U131" s="12">
        <f>IF($A131="","",IF($T131&lt;25,"Safe",IF($T131&lt;50,"Watch","At-risk")))</f>
        <v/>
      </c>
      <c r="V131" s="12">
        <f>IF($A131="","",IF($T131=0,"—",INDEX($L$1:$S$1,1,MATCH(MAX($L131:$S131),$L131:$S131,0))))</f>
        <v/>
      </c>
    </row>
    <row r="132">
      <c r="A132" s="13" t="n"/>
      <c r="B132" s="9" t="n"/>
      <c r="C132" s="9" t="n"/>
      <c r="D132" s="10" t="n"/>
      <c r="E132" s="10" t="n"/>
      <c r="F132" s="10" t="n"/>
      <c r="G132" s="10" t="n"/>
      <c r="H132" s="13" t="n"/>
      <c r="I132" s="10" t="n"/>
      <c r="J132" s="10" t="n"/>
      <c r="K132" s="11">
        <f>IF($A132="","",IF($B132="","",MAX(0,'Settings'!$B$3-$B132)))</f>
        <v/>
      </c>
      <c r="L132" s="11">
        <f>IF($A132="","",IF(OR($H132="Paused",AND($B132&lt;&gt;"",'Settings'!$B$3-$B132&lt;=14)),0,IF($E132/12&gt;=0.75,IF(1-($D132/4)/($E132/12)&gt;=0.3,ROUND(30*(1-($D132/4)/($E132/12)),0),0),0)))</f>
        <v/>
      </c>
      <c r="M132" s="11">
        <f>IF($A132="","",IF(OR($H132="Paused",AND($B132&lt;&gt;"",'Settings'!$B$3-$B132&lt;=14)),0,IF($C132="",12,IF(MAX(0,'Settings'!$B$3-$C132)&lt;=7,0,IF(MAX(0,'Settings'!$B$3-$C132)&lt;=14,6,IF(MAX(0,'Settings'!$B$3-$C132)&lt;=21,12,IF(MAX(0,'Settings'!$B$3-$C132)&lt;=35,18,20)))))))</f>
        <v/>
      </c>
      <c r="N132" s="11">
        <f>IF($A132="","",IF(AND($H132&lt;&gt;"Paused",OR($B132="",'Settings'!$B$3-$B132&gt;14),$L132=0,IF($F132&gt;=2,1-$D132/$F132&gt;=0.5,FALSE)),10,0))</f>
        <v/>
      </c>
      <c r="O132" s="11">
        <f>IF($A132="","",MIN(16,$G132*8))</f>
        <v/>
      </c>
      <c r="P132" s="11">
        <f>IF($A132="","",IF($H132="Paused",14,IF($I132&gt;0,6,0)))</f>
        <v/>
      </c>
      <c r="Q132" s="11">
        <f>IF($A132="","",IF($H132="Ended",30,0))</f>
        <v/>
      </c>
      <c r="R132" s="11">
        <f>IF($A132="","",MIN(15,$J132*8))</f>
        <v/>
      </c>
      <c r="S132" s="11">
        <f>IF($A132="","",IF(AND($B132&lt;&gt;"",$K132&lt;90,SUM($L132:$N132)&gt;0),ROUND(0.25*SUM($L132:$N132),0),0))</f>
        <v/>
      </c>
      <c r="T132" s="11">
        <f>IF($A132="","",MIN(100,SUM($L132:$S132)))</f>
        <v/>
      </c>
      <c r="U132" s="12">
        <f>IF($A132="","",IF($T132&lt;25,"Safe",IF($T132&lt;50,"Watch","At-risk")))</f>
        <v/>
      </c>
      <c r="V132" s="12">
        <f>IF($A132="","",IF($T132=0,"—",INDEX($L$1:$S$1,1,MATCH(MAX($L132:$S132),$L132:$S132,0))))</f>
        <v/>
      </c>
    </row>
    <row r="133">
      <c r="A133" s="13" t="n"/>
      <c r="B133" s="9" t="n"/>
      <c r="C133" s="9" t="n"/>
      <c r="D133" s="10" t="n"/>
      <c r="E133" s="10" t="n"/>
      <c r="F133" s="10" t="n"/>
      <c r="G133" s="10" t="n"/>
      <c r="H133" s="13" t="n"/>
      <c r="I133" s="10" t="n"/>
      <c r="J133" s="10" t="n"/>
      <c r="K133" s="11">
        <f>IF($A133="","",IF($B133="","",MAX(0,'Settings'!$B$3-$B133)))</f>
        <v/>
      </c>
      <c r="L133" s="11">
        <f>IF($A133="","",IF(OR($H133="Paused",AND($B133&lt;&gt;"",'Settings'!$B$3-$B133&lt;=14)),0,IF($E133/12&gt;=0.75,IF(1-($D133/4)/($E133/12)&gt;=0.3,ROUND(30*(1-($D133/4)/($E133/12)),0),0),0)))</f>
        <v/>
      </c>
      <c r="M133" s="11">
        <f>IF($A133="","",IF(OR($H133="Paused",AND($B133&lt;&gt;"",'Settings'!$B$3-$B133&lt;=14)),0,IF($C133="",12,IF(MAX(0,'Settings'!$B$3-$C133)&lt;=7,0,IF(MAX(0,'Settings'!$B$3-$C133)&lt;=14,6,IF(MAX(0,'Settings'!$B$3-$C133)&lt;=21,12,IF(MAX(0,'Settings'!$B$3-$C133)&lt;=35,18,20)))))))</f>
        <v/>
      </c>
      <c r="N133" s="11">
        <f>IF($A133="","",IF(AND($H133&lt;&gt;"Paused",OR($B133="",'Settings'!$B$3-$B133&gt;14),$L133=0,IF($F133&gt;=2,1-$D133/$F133&gt;=0.5,FALSE)),10,0))</f>
        <v/>
      </c>
      <c r="O133" s="11">
        <f>IF($A133="","",MIN(16,$G133*8))</f>
        <v/>
      </c>
      <c r="P133" s="11">
        <f>IF($A133="","",IF($H133="Paused",14,IF($I133&gt;0,6,0)))</f>
        <v/>
      </c>
      <c r="Q133" s="11">
        <f>IF($A133="","",IF($H133="Ended",30,0))</f>
        <v/>
      </c>
      <c r="R133" s="11">
        <f>IF($A133="","",MIN(15,$J133*8))</f>
        <v/>
      </c>
      <c r="S133" s="11">
        <f>IF($A133="","",IF(AND($B133&lt;&gt;"",$K133&lt;90,SUM($L133:$N133)&gt;0),ROUND(0.25*SUM($L133:$N133),0),0))</f>
        <v/>
      </c>
      <c r="T133" s="11">
        <f>IF($A133="","",MIN(100,SUM($L133:$S133)))</f>
        <v/>
      </c>
      <c r="U133" s="12">
        <f>IF($A133="","",IF($T133&lt;25,"Safe",IF($T133&lt;50,"Watch","At-risk")))</f>
        <v/>
      </c>
      <c r="V133" s="12">
        <f>IF($A133="","",IF($T133=0,"—",INDEX($L$1:$S$1,1,MATCH(MAX($L133:$S133),$L133:$S133,0))))</f>
        <v/>
      </c>
    </row>
    <row r="134">
      <c r="A134" s="13" t="n"/>
      <c r="B134" s="9" t="n"/>
      <c r="C134" s="9" t="n"/>
      <c r="D134" s="10" t="n"/>
      <c r="E134" s="10" t="n"/>
      <c r="F134" s="10" t="n"/>
      <c r="G134" s="10" t="n"/>
      <c r="H134" s="13" t="n"/>
      <c r="I134" s="10" t="n"/>
      <c r="J134" s="10" t="n"/>
      <c r="K134" s="11">
        <f>IF($A134="","",IF($B134="","",MAX(0,'Settings'!$B$3-$B134)))</f>
        <v/>
      </c>
      <c r="L134" s="11">
        <f>IF($A134="","",IF(OR($H134="Paused",AND($B134&lt;&gt;"",'Settings'!$B$3-$B134&lt;=14)),0,IF($E134/12&gt;=0.75,IF(1-($D134/4)/($E134/12)&gt;=0.3,ROUND(30*(1-($D134/4)/($E134/12)),0),0),0)))</f>
        <v/>
      </c>
      <c r="M134" s="11">
        <f>IF($A134="","",IF(OR($H134="Paused",AND($B134&lt;&gt;"",'Settings'!$B$3-$B134&lt;=14)),0,IF($C134="",12,IF(MAX(0,'Settings'!$B$3-$C134)&lt;=7,0,IF(MAX(0,'Settings'!$B$3-$C134)&lt;=14,6,IF(MAX(0,'Settings'!$B$3-$C134)&lt;=21,12,IF(MAX(0,'Settings'!$B$3-$C134)&lt;=35,18,20)))))))</f>
        <v/>
      </c>
      <c r="N134" s="11">
        <f>IF($A134="","",IF(AND($H134&lt;&gt;"Paused",OR($B134="",'Settings'!$B$3-$B134&gt;14),$L134=0,IF($F134&gt;=2,1-$D134/$F134&gt;=0.5,FALSE)),10,0))</f>
        <v/>
      </c>
      <c r="O134" s="11">
        <f>IF($A134="","",MIN(16,$G134*8))</f>
        <v/>
      </c>
      <c r="P134" s="11">
        <f>IF($A134="","",IF($H134="Paused",14,IF($I134&gt;0,6,0)))</f>
        <v/>
      </c>
      <c r="Q134" s="11">
        <f>IF($A134="","",IF($H134="Ended",30,0))</f>
        <v/>
      </c>
      <c r="R134" s="11">
        <f>IF($A134="","",MIN(15,$J134*8))</f>
        <v/>
      </c>
      <c r="S134" s="11">
        <f>IF($A134="","",IF(AND($B134&lt;&gt;"",$K134&lt;90,SUM($L134:$N134)&gt;0),ROUND(0.25*SUM($L134:$N134),0),0))</f>
        <v/>
      </c>
      <c r="T134" s="11">
        <f>IF($A134="","",MIN(100,SUM($L134:$S134)))</f>
        <v/>
      </c>
      <c r="U134" s="12">
        <f>IF($A134="","",IF($T134&lt;25,"Safe",IF($T134&lt;50,"Watch","At-risk")))</f>
        <v/>
      </c>
      <c r="V134" s="12">
        <f>IF($A134="","",IF($T134=0,"—",INDEX($L$1:$S$1,1,MATCH(MAX($L134:$S134),$L134:$S134,0))))</f>
        <v/>
      </c>
    </row>
    <row r="135">
      <c r="A135" s="13" t="n"/>
      <c r="B135" s="9" t="n"/>
      <c r="C135" s="9" t="n"/>
      <c r="D135" s="10" t="n"/>
      <c r="E135" s="10" t="n"/>
      <c r="F135" s="10" t="n"/>
      <c r="G135" s="10" t="n"/>
      <c r="H135" s="13" t="n"/>
      <c r="I135" s="10" t="n"/>
      <c r="J135" s="10" t="n"/>
      <c r="K135" s="11">
        <f>IF($A135="","",IF($B135="","",MAX(0,'Settings'!$B$3-$B135)))</f>
        <v/>
      </c>
      <c r="L135" s="11">
        <f>IF($A135="","",IF(OR($H135="Paused",AND($B135&lt;&gt;"",'Settings'!$B$3-$B135&lt;=14)),0,IF($E135/12&gt;=0.75,IF(1-($D135/4)/($E135/12)&gt;=0.3,ROUND(30*(1-($D135/4)/($E135/12)),0),0),0)))</f>
        <v/>
      </c>
      <c r="M135" s="11">
        <f>IF($A135="","",IF(OR($H135="Paused",AND($B135&lt;&gt;"",'Settings'!$B$3-$B135&lt;=14)),0,IF($C135="",12,IF(MAX(0,'Settings'!$B$3-$C135)&lt;=7,0,IF(MAX(0,'Settings'!$B$3-$C135)&lt;=14,6,IF(MAX(0,'Settings'!$B$3-$C135)&lt;=21,12,IF(MAX(0,'Settings'!$B$3-$C135)&lt;=35,18,20)))))))</f>
        <v/>
      </c>
      <c r="N135" s="11">
        <f>IF($A135="","",IF(AND($H135&lt;&gt;"Paused",OR($B135="",'Settings'!$B$3-$B135&gt;14),$L135=0,IF($F135&gt;=2,1-$D135/$F135&gt;=0.5,FALSE)),10,0))</f>
        <v/>
      </c>
      <c r="O135" s="11">
        <f>IF($A135="","",MIN(16,$G135*8))</f>
        <v/>
      </c>
      <c r="P135" s="11">
        <f>IF($A135="","",IF($H135="Paused",14,IF($I135&gt;0,6,0)))</f>
        <v/>
      </c>
      <c r="Q135" s="11">
        <f>IF($A135="","",IF($H135="Ended",30,0))</f>
        <v/>
      </c>
      <c r="R135" s="11">
        <f>IF($A135="","",MIN(15,$J135*8))</f>
        <v/>
      </c>
      <c r="S135" s="11">
        <f>IF($A135="","",IF(AND($B135&lt;&gt;"",$K135&lt;90,SUM($L135:$N135)&gt;0),ROUND(0.25*SUM($L135:$N135),0),0))</f>
        <v/>
      </c>
      <c r="T135" s="11">
        <f>IF($A135="","",MIN(100,SUM($L135:$S135)))</f>
        <v/>
      </c>
      <c r="U135" s="12">
        <f>IF($A135="","",IF($T135&lt;25,"Safe",IF($T135&lt;50,"Watch","At-risk")))</f>
        <v/>
      </c>
      <c r="V135" s="12">
        <f>IF($A135="","",IF($T135=0,"—",INDEX($L$1:$S$1,1,MATCH(MAX($L135:$S135),$L135:$S135,0))))</f>
        <v/>
      </c>
    </row>
    <row r="136">
      <c r="A136" s="13" t="n"/>
      <c r="B136" s="9" t="n"/>
      <c r="C136" s="9" t="n"/>
      <c r="D136" s="10" t="n"/>
      <c r="E136" s="10" t="n"/>
      <c r="F136" s="10" t="n"/>
      <c r="G136" s="10" t="n"/>
      <c r="H136" s="13" t="n"/>
      <c r="I136" s="10" t="n"/>
      <c r="J136" s="10" t="n"/>
      <c r="K136" s="11">
        <f>IF($A136="","",IF($B136="","",MAX(0,'Settings'!$B$3-$B136)))</f>
        <v/>
      </c>
      <c r="L136" s="11">
        <f>IF($A136="","",IF(OR($H136="Paused",AND($B136&lt;&gt;"",'Settings'!$B$3-$B136&lt;=14)),0,IF($E136/12&gt;=0.75,IF(1-($D136/4)/($E136/12)&gt;=0.3,ROUND(30*(1-($D136/4)/($E136/12)),0),0),0)))</f>
        <v/>
      </c>
      <c r="M136" s="11">
        <f>IF($A136="","",IF(OR($H136="Paused",AND($B136&lt;&gt;"",'Settings'!$B$3-$B136&lt;=14)),0,IF($C136="",12,IF(MAX(0,'Settings'!$B$3-$C136)&lt;=7,0,IF(MAX(0,'Settings'!$B$3-$C136)&lt;=14,6,IF(MAX(0,'Settings'!$B$3-$C136)&lt;=21,12,IF(MAX(0,'Settings'!$B$3-$C136)&lt;=35,18,20)))))))</f>
        <v/>
      </c>
      <c r="N136" s="11">
        <f>IF($A136="","",IF(AND($H136&lt;&gt;"Paused",OR($B136="",'Settings'!$B$3-$B136&gt;14),$L136=0,IF($F136&gt;=2,1-$D136/$F136&gt;=0.5,FALSE)),10,0))</f>
        <v/>
      </c>
      <c r="O136" s="11">
        <f>IF($A136="","",MIN(16,$G136*8))</f>
        <v/>
      </c>
      <c r="P136" s="11">
        <f>IF($A136="","",IF($H136="Paused",14,IF($I136&gt;0,6,0)))</f>
        <v/>
      </c>
      <c r="Q136" s="11">
        <f>IF($A136="","",IF($H136="Ended",30,0))</f>
        <v/>
      </c>
      <c r="R136" s="11">
        <f>IF($A136="","",MIN(15,$J136*8))</f>
        <v/>
      </c>
      <c r="S136" s="11">
        <f>IF($A136="","",IF(AND($B136&lt;&gt;"",$K136&lt;90,SUM($L136:$N136)&gt;0),ROUND(0.25*SUM($L136:$N136),0),0))</f>
        <v/>
      </c>
      <c r="T136" s="11">
        <f>IF($A136="","",MIN(100,SUM($L136:$S136)))</f>
        <v/>
      </c>
      <c r="U136" s="12">
        <f>IF($A136="","",IF($T136&lt;25,"Safe",IF($T136&lt;50,"Watch","At-risk")))</f>
        <v/>
      </c>
      <c r="V136" s="12">
        <f>IF($A136="","",IF($T136=0,"—",INDEX($L$1:$S$1,1,MATCH(MAX($L136:$S136),$L136:$S136,0))))</f>
        <v/>
      </c>
    </row>
    <row r="137">
      <c r="A137" s="13" t="n"/>
      <c r="B137" s="9" t="n"/>
      <c r="C137" s="9" t="n"/>
      <c r="D137" s="10" t="n"/>
      <c r="E137" s="10" t="n"/>
      <c r="F137" s="10" t="n"/>
      <c r="G137" s="10" t="n"/>
      <c r="H137" s="13" t="n"/>
      <c r="I137" s="10" t="n"/>
      <c r="J137" s="10" t="n"/>
      <c r="K137" s="11">
        <f>IF($A137="","",IF($B137="","",MAX(0,'Settings'!$B$3-$B137)))</f>
        <v/>
      </c>
      <c r="L137" s="11">
        <f>IF($A137="","",IF(OR($H137="Paused",AND($B137&lt;&gt;"",'Settings'!$B$3-$B137&lt;=14)),0,IF($E137/12&gt;=0.75,IF(1-($D137/4)/($E137/12)&gt;=0.3,ROUND(30*(1-($D137/4)/($E137/12)),0),0),0)))</f>
        <v/>
      </c>
      <c r="M137" s="11">
        <f>IF($A137="","",IF(OR($H137="Paused",AND($B137&lt;&gt;"",'Settings'!$B$3-$B137&lt;=14)),0,IF($C137="",12,IF(MAX(0,'Settings'!$B$3-$C137)&lt;=7,0,IF(MAX(0,'Settings'!$B$3-$C137)&lt;=14,6,IF(MAX(0,'Settings'!$B$3-$C137)&lt;=21,12,IF(MAX(0,'Settings'!$B$3-$C137)&lt;=35,18,20)))))))</f>
        <v/>
      </c>
      <c r="N137" s="11">
        <f>IF($A137="","",IF(AND($H137&lt;&gt;"Paused",OR($B137="",'Settings'!$B$3-$B137&gt;14),$L137=0,IF($F137&gt;=2,1-$D137/$F137&gt;=0.5,FALSE)),10,0))</f>
        <v/>
      </c>
      <c r="O137" s="11">
        <f>IF($A137="","",MIN(16,$G137*8))</f>
        <v/>
      </c>
      <c r="P137" s="11">
        <f>IF($A137="","",IF($H137="Paused",14,IF($I137&gt;0,6,0)))</f>
        <v/>
      </c>
      <c r="Q137" s="11">
        <f>IF($A137="","",IF($H137="Ended",30,0))</f>
        <v/>
      </c>
      <c r="R137" s="11">
        <f>IF($A137="","",MIN(15,$J137*8))</f>
        <v/>
      </c>
      <c r="S137" s="11">
        <f>IF($A137="","",IF(AND($B137&lt;&gt;"",$K137&lt;90,SUM($L137:$N137)&gt;0),ROUND(0.25*SUM($L137:$N137),0),0))</f>
        <v/>
      </c>
      <c r="T137" s="11">
        <f>IF($A137="","",MIN(100,SUM($L137:$S137)))</f>
        <v/>
      </c>
      <c r="U137" s="12">
        <f>IF($A137="","",IF($T137&lt;25,"Safe",IF($T137&lt;50,"Watch","At-risk")))</f>
        <v/>
      </c>
      <c r="V137" s="12">
        <f>IF($A137="","",IF($T137=0,"—",INDEX($L$1:$S$1,1,MATCH(MAX($L137:$S137),$L137:$S137,0))))</f>
        <v/>
      </c>
    </row>
    <row r="138">
      <c r="A138" s="13" t="n"/>
      <c r="B138" s="9" t="n"/>
      <c r="C138" s="9" t="n"/>
      <c r="D138" s="10" t="n"/>
      <c r="E138" s="10" t="n"/>
      <c r="F138" s="10" t="n"/>
      <c r="G138" s="10" t="n"/>
      <c r="H138" s="13" t="n"/>
      <c r="I138" s="10" t="n"/>
      <c r="J138" s="10" t="n"/>
      <c r="K138" s="11">
        <f>IF($A138="","",IF($B138="","",MAX(0,'Settings'!$B$3-$B138)))</f>
        <v/>
      </c>
      <c r="L138" s="11">
        <f>IF($A138="","",IF(OR($H138="Paused",AND($B138&lt;&gt;"",'Settings'!$B$3-$B138&lt;=14)),0,IF($E138/12&gt;=0.75,IF(1-($D138/4)/($E138/12)&gt;=0.3,ROUND(30*(1-($D138/4)/($E138/12)),0),0),0)))</f>
        <v/>
      </c>
      <c r="M138" s="11">
        <f>IF($A138="","",IF(OR($H138="Paused",AND($B138&lt;&gt;"",'Settings'!$B$3-$B138&lt;=14)),0,IF($C138="",12,IF(MAX(0,'Settings'!$B$3-$C138)&lt;=7,0,IF(MAX(0,'Settings'!$B$3-$C138)&lt;=14,6,IF(MAX(0,'Settings'!$B$3-$C138)&lt;=21,12,IF(MAX(0,'Settings'!$B$3-$C138)&lt;=35,18,20)))))))</f>
        <v/>
      </c>
      <c r="N138" s="11">
        <f>IF($A138="","",IF(AND($H138&lt;&gt;"Paused",OR($B138="",'Settings'!$B$3-$B138&gt;14),$L138=0,IF($F138&gt;=2,1-$D138/$F138&gt;=0.5,FALSE)),10,0))</f>
        <v/>
      </c>
      <c r="O138" s="11">
        <f>IF($A138="","",MIN(16,$G138*8))</f>
        <v/>
      </c>
      <c r="P138" s="11">
        <f>IF($A138="","",IF($H138="Paused",14,IF($I138&gt;0,6,0)))</f>
        <v/>
      </c>
      <c r="Q138" s="11">
        <f>IF($A138="","",IF($H138="Ended",30,0))</f>
        <v/>
      </c>
      <c r="R138" s="11">
        <f>IF($A138="","",MIN(15,$J138*8))</f>
        <v/>
      </c>
      <c r="S138" s="11">
        <f>IF($A138="","",IF(AND($B138&lt;&gt;"",$K138&lt;90,SUM($L138:$N138)&gt;0),ROUND(0.25*SUM($L138:$N138),0),0))</f>
        <v/>
      </c>
      <c r="T138" s="11">
        <f>IF($A138="","",MIN(100,SUM($L138:$S138)))</f>
        <v/>
      </c>
      <c r="U138" s="12">
        <f>IF($A138="","",IF($T138&lt;25,"Safe",IF($T138&lt;50,"Watch","At-risk")))</f>
        <v/>
      </c>
      <c r="V138" s="12">
        <f>IF($A138="","",IF($T138=0,"—",INDEX($L$1:$S$1,1,MATCH(MAX($L138:$S138),$L138:$S138,0))))</f>
        <v/>
      </c>
    </row>
    <row r="139">
      <c r="A139" s="13" t="n"/>
      <c r="B139" s="9" t="n"/>
      <c r="C139" s="9" t="n"/>
      <c r="D139" s="10" t="n"/>
      <c r="E139" s="10" t="n"/>
      <c r="F139" s="10" t="n"/>
      <c r="G139" s="10" t="n"/>
      <c r="H139" s="13" t="n"/>
      <c r="I139" s="10" t="n"/>
      <c r="J139" s="10" t="n"/>
      <c r="K139" s="11">
        <f>IF($A139="","",IF($B139="","",MAX(0,'Settings'!$B$3-$B139)))</f>
        <v/>
      </c>
      <c r="L139" s="11">
        <f>IF($A139="","",IF(OR($H139="Paused",AND($B139&lt;&gt;"",'Settings'!$B$3-$B139&lt;=14)),0,IF($E139/12&gt;=0.75,IF(1-($D139/4)/($E139/12)&gt;=0.3,ROUND(30*(1-($D139/4)/($E139/12)),0),0),0)))</f>
        <v/>
      </c>
      <c r="M139" s="11">
        <f>IF($A139="","",IF(OR($H139="Paused",AND($B139&lt;&gt;"",'Settings'!$B$3-$B139&lt;=14)),0,IF($C139="",12,IF(MAX(0,'Settings'!$B$3-$C139)&lt;=7,0,IF(MAX(0,'Settings'!$B$3-$C139)&lt;=14,6,IF(MAX(0,'Settings'!$B$3-$C139)&lt;=21,12,IF(MAX(0,'Settings'!$B$3-$C139)&lt;=35,18,20)))))))</f>
        <v/>
      </c>
      <c r="N139" s="11">
        <f>IF($A139="","",IF(AND($H139&lt;&gt;"Paused",OR($B139="",'Settings'!$B$3-$B139&gt;14),$L139=0,IF($F139&gt;=2,1-$D139/$F139&gt;=0.5,FALSE)),10,0))</f>
        <v/>
      </c>
      <c r="O139" s="11">
        <f>IF($A139="","",MIN(16,$G139*8))</f>
        <v/>
      </c>
      <c r="P139" s="11">
        <f>IF($A139="","",IF($H139="Paused",14,IF($I139&gt;0,6,0)))</f>
        <v/>
      </c>
      <c r="Q139" s="11">
        <f>IF($A139="","",IF($H139="Ended",30,0))</f>
        <v/>
      </c>
      <c r="R139" s="11">
        <f>IF($A139="","",MIN(15,$J139*8))</f>
        <v/>
      </c>
      <c r="S139" s="11">
        <f>IF($A139="","",IF(AND($B139&lt;&gt;"",$K139&lt;90,SUM($L139:$N139)&gt;0),ROUND(0.25*SUM($L139:$N139),0),0))</f>
        <v/>
      </c>
      <c r="T139" s="11">
        <f>IF($A139="","",MIN(100,SUM($L139:$S139)))</f>
        <v/>
      </c>
      <c r="U139" s="12">
        <f>IF($A139="","",IF($T139&lt;25,"Safe",IF($T139&lt;50,"Watch","At-risk")))</f>
        <v/>
      </c>
      <c r="V139" s="12">
        <f>IF($A139="","",IF($T139=0,"—",INDEX($L$1:$S$1,1,MATCH(MAX($L139:$S139),$L139:$S139,0))))</f>
        <v/>
      </c>
    </row>
    <row r="140">
      <c r="A140" s="13" t="n"/>
      <c r="B140" s="9" t="n"/>
      <c r="C140" s="9" t="n"/>
      <c r="D140" s="10" t="n"/>
      <c r="E140" s="10" t="n"/>
      <c r="F140" s="10" t="n"/>
      <c r="G140" s="10" t="n"/>
      <c r="H140" s="13" t="n"/>
      <c r="I140" s="10" t="n"/>
      <c r="J140" s="10" t="n"/>
      <c r="K140" s="11">
        <f>IF($A140="","",IF($B140="","",MAX(0,'Settings'!$B$3-$B140)))</f>
        <v/>
      </c>
      <c r="L140" s="11">
        <f>IF($A140="","",IF(OR($H140="Paused",AND($B140&lt;&gt;"",'Settings'!$B$3-$B140&lt;=14)),0,IF($E140/12&gt;=0.75,IF(1-($D140/4)/($E140/12)&gt;=0.3,ROUND(30*(1-($D140/4)/($E140/12)),0),0),0)))</f>
        <v/>
      </c>
      <c r="M140" s="11">
        <f>IF($A140="","",IF(OR($H140="Paused",AND($B140&lt;&gt;"",'Settings'!$B$3-$B140&lt;=14)),0,IF($C140="",12,IF(MAX(0,'Settings'!$B$3-$C140)&lt;=7,0,IF(MAX(0,'Settings'!$B$3-$C140)&lt;=14,6,IF(MAX(0,'Settings'!$B$3-$C140)&lt;=21,12,IF(MAX(0,'Settings'!$B$3-$C140)&lt;=35,18,20)))))))</f>
        <v/>
      </c>
      <c r="N140" s="11">
        <f>IF($A140="","",IF(AND($H140&lt;&gt;"Paused",OR($B140="",'Settings'!$B$3-$B140&gt;14),$L140=0,IF($F140&gt;=2,1-$D140/$F140&gt;=0.5,FALSE)),10,0))</f>
        <v/>
      </c>
      <c r="O140" s="11">
        <f>IF($A140="","",MIN(16,$G140*8))</f>
        <v/>
      </c>
      <c r="P140" s="11">
        <f>IF($A140="","",IF($H140="Paused",14,IF($I140&gt;0,6,0)))</f>
        <v/>
      </c>
      <c r="Q140" s="11">
        <f>IF($A140="","",IF($H140="Ended",30,0))</f>
        <v/>
      </c>
      <c r="R140" s="11">
        <f>IF($A140="","",MIN(15,$J140*8))</f>
        <v/>
      </c>
      <c r="S140" s="11">
        <f>IF($A140="","",IF(AND($B140&lt;&gt;"",$K140&lt;90,SUM($L140:$N140)&gt;0),ROUND(0.25*SUM($L140:$N140),0),0))</f>
        <v/>
      </c>
      <c r="T140" s="11">
        <f>IF($A140="","",MIN(100,SUM($L140:$S140)))</f>
        <v/>
      </c>
      <c r="U140" s="12">
        <f>IF($A140="","",IF($T140&lt;25,"Safe",IF($T140&lt;50,"Watch","At-risk")))</f>
        <v/>
      </c>
      <c r="V140" s="12">
        <f>IF($A140="","",IF($T140=0,"—",INDEX($L$1:$S$1,1,MATCH(MAX($L140:$S140),$L140:$S140,0))))</f>
        <v/>
      </c>
    </row>
    <row r="141">
      <c r="A141" s="13" t="n"/>
      <c r="B141" s="9" t="n"/>
      <c r="C141" s="9" t="n"/>
      <c r="D141" s="10" t="n"/>
      <c r="E141" s="10" t="n"/>
      <c r="F141" s="10" t="n"/>
      <c r="G141" s="10" t="n"/>
      <c r="H141" s="13" t="n"/>
      <c r="I141" s="10" t="n"/>
      <c r="J141" s="10" t="n"/>
      <c r="K141" s="11">
        <f>IF($A141="","",IF($B141="","",MAX(0,'Settings'!$B$3-$B141)))</f>
        <v/>
      </c>
      <c r="L141" s="11">
        <f>IF($A141="","",IF(OR($H141="Paused",AND($B141&lt;&gt;"",'Settings'!$B$3-$B141&lt;=14)),0,IF($E141/12&gt;=0.75,IF(1-($D141/4)/($E141/12)&gt;=0.3,ROUND(30*(1-($D141/4)/($E141/12)),0),0),0)))</f>
        <v/>
      </c>
      <c r="M141" s="11">
        <f>IF($A141="","",IF(OR($H141="Paused",AND($B141&lt;&gt;"",'Settings'!$B$3-$B141&lt;=14)),0,IF($C141="",12,IF(MAX(0,'Settings'!$B$3-$C141)&lt;=7,0,IF(MAX(0,'Settings'!$B$3-$C141)&lt;=14,6,IF(MAX(0,'Settings'!$B$3-$C141)&lt;=21,12,IF(MAX(0,'Settings'!$B$3-$C141)&lt;=35,18,20)))))))</f>
        <v/>
      </c>
      <c r="N141" s="11">
        <f>IF($A141="","",IF(AND($H141&lt;&gt;"Paused",OR($B141="",'Settings'!$B$3-$B141&gt;14),$L141=0,IF($F141&gt;=2,1-$D141/$F141&gt;=0.5,FALSE)),10,0))</f>
        <v/>
      </c>
      <c r="O141" s="11">
        <f>IF($A141="","",MIN(16,$G141*8))</f>
        <v/>
      </c>
      <c r="P141" s="11">
        <f>IF($A141="","",IF($H141="Paused",14,IF($I141&gt;0,6,0)))</f>
        <v/>
      </c>
      <c r="Q141" s="11">
        <f>IF($A141="","",IF($H141="Ended",30,0))</f>
        <v/>
      </c>
      <c r="R141" s="11">
        <f>IF($A141="","",MIN(15,$J141*8))</f>
        <v/>
      </c>
      <c r="S141" s="11">
        <f>IF($A141="","",IF(AND($B141&lt;&gt;"",$K141&lt;90,SUM($L141:$N141)&gt;0),ROUND(0.25*SUM($L141:$N141),0),0))</f>
        <v/>
      </c>
      <c r="T141" s="11">
        <f>IF($A141="","",MIN(100,SUM($L141:$S141)))</f>
        <v/>
      </c>
      <c r="U141" s="12">
        <f>IF($A141="","",IF($T141&lt;25,"Safe",IF($T141&lt;50,"Watch","At-risk")))</f>
        <v/>
      </c>
      <c r="V141" s="12">
        <f>IF($A141="","",IF($T141=0,"—",INDEX($L$1:$S$1,1,MATCH(MAX($L141:$S141),$L141:$S141,0))))</f>
        <v/>
      </c>
    </row>
    <row r="142">
      <c r="A142" s="13" t="n"/>
      <c r="B142" s="9" t="n"/>
      <c r="C142" s="9" t="n"/>
      <c r="D142" s="10" t="n"/>
      <c r="E142" s="10" t="n"/>
      <c r="F142" s="10" t="n"/>
      <c r="G142" s="10" t="n"/>
      <c r="H142" s="13" t="n"/>
      <c r="I142" s="10" t="n"/>
      <c r="J142" s="10" t="n"/>
      <c r="K142" s="11">
        <f>IF($A142="","",IF($B142="","",MAX(0,'Settings'!$B$3-$B142)))</f>
        <v/>
      </c>
      <c r="L142" s="11">
        <f>IF($A142="","",IF(OR($H142="Paused",AND($B142&lt;&gt;"",'Settings'!$B$3-$B142&lt;=14)),0,IF($E142/12&gt;=0.75,IF(1-($D142/4)/($E142/12)&gt;=0.3,ROUND(30*(1-($D142/4)/($E142/12)),0),0),0)))</f>
        <v/>
      </c>
      <c r="M142" s="11">
        <f>IF($A142="","",IF(OR($H142="Paused",AND($B142&lt;&gt;"",'Settings'!$B$3-$B142&lt;=14)),0,IF($C142="",12,IF(MAX(0,'Settings'!$B$3-$C142)&lt;=7,0,IF(MAX(0,'Settings'!$B$3-$C142)&lt;=14,6,IF(MAX(0,'Settings'!$B$3-$C142)&lt;=21,12,IF(MAX(0,'Settings'!$B$3-$C142)&lt;=35,18,20)))))))</f>
        <v/>
      </c>
      <c r="N142" s="11">
        <f>IF($A142="","",IF(AND($H142&lt;&gt;"Paused",OR($B142="",'Settings'!$B$3-$B142&gt;14),$L142=0,IF($F142&gt;=2,1-$D142/$F142&gt;=0.5,FALSE)),10,0))</f>
        <v/>
      </c>
      <c r="O142" s="11">
        <f>IF($A142="","",MIN(16,$G142*8))</f>
        <v/>
      </c>
      <c r="P142" s="11">
        <f>IF($A142="","",IF($H142="Paused",14,IF($I142&gt;0,6,0)))</f>
        <v/>
      </c>
      <c r="Q142" s="11">
        <f>IF($A142="","",IF($H142="Ended",30,0))</f>
        <v/>
      </c>
      <c r="R142" s="11">
        <f>IF($A142="","",MIN(15,$J142*8))</f>
        <v/>
      </c>
      <c r="S142" s="11">
        <f>IF($A142="","",IF(AND($B142&lt;&gt;"",$K142&lt;90,SUM($L142:$N142)&gt;0),ROUND(0.25*SUM($L142:$N142),0),0))</f>
        <v/>
      </c>
      <c r="T142" s="11">
        <f>IF($A142="","",MIN(100,SUM($L142:$S142)))</f>
        <v/>
      </c>
      <c r="U142" s="12">
        <f>IF($A142="","",IF($T142&lt;25,"Safe",IF($T142&lt;50,"Watch","At-risk")))</f>
        <v/>
      </c>
      <c r="V142" s="12">
        <f>IF($A142="","",IF($T142=0,"—",INDEX($L$1:$S$1,1,MATCH(MAX($L142:$S142),$L142:$S142,0))))</f>
        <v/>
      </c>
    </row>
    <row r="143">
      <c r="A143" s="13" t="n"/>
      <c r="B143" s="9" t="n"/>
      <c r="C143" s="9" t="n"/>
      <c r="D143" s="10" t="n"/>
      <c r="E143" s="10" t="n"/>
      <c r="F143" s="10" t="n"/>
      <c r="G143" s="10" t="n"/>
      <c r="H143" s="13" t="n"/>
      <c r="I143" s="10" t="n"/>
      <c r="J143" s="10" t="n"/>
      <c r="K143" s="11">
        <f>IF($A143="","",IF($B143="","",MAX(0,'Settings'!$B$3-$B143)))</f>
        <v/>
      </c>
      <c r="L143" s="11">
        <f>IF($A143="","",IF(OR($H143="Paused",AND($B143&lt;&gt;"",'Settings'!$B$3-$B143&lt;=14)),0,IF($E143/12&gt;=0.75,IF(1-($D143/4)/($E143/12)&gt;=0.3,ROUND(30*(1-($D143/4)/($E143/12)),0),0),0)))</f>
        <v/>
      </c>
      <c r="M143" s="11">
        <f>IF($A143="","",IF(OR($H143="Paused",AND($B143&lt;&gt;"",'Settings'!$B$3-$B143&lt;=14)),0,IF($C143="",12,IF(MAX(0,'Settings'!$B$3-$C143)&lt;=7,0,IF(MAX(0,'Settings'!$B$3-$C143)&lt;=14,6,IF(MAX(0,'Settings'!$B$3-$C143)&lt;=21,12,IF(MAX(0,'Settings'!$B$3-$C143)&lt;=35,18,20)))))))</f>
        <v/>
      </c>
      <c r="N143" s="11">
        <f>IF($A143="","",IF(AND($H143&lt;&gt;"Paused",OR($B143="",'Settings'!$B$3-$B143&gt;14),$L143=0,IF($F143&gt;=2,1-$D143/$F143&gt;=0.5,FALSE)),10,0))</f>
        <v/>
      </c>
      <c r="O143" s="11">
        <f>IF($A143="","",MIN(16,$G143*8))</f>
        <v/>
      </c>
      <c r="P143" s="11">
        <f>IF($A143="","",IF($H143="Paused",14,IF($I143&gt;0,6,0)))</f>
        <v/>
      </c>
      <c r="Q143" s="11">
        <f>IF($A143="","",IF($H143="Ended",30,0))</f>
        <v/>
      </c>
      <c r="R143" s="11">
        <f>IF($A143="","",MIN(15,$J143*8))</f>
        <v/>
      </c>
      <c r="S143" s="11">
        <f>IF($A143="","",IF(AND($B143&lt;&gt;"",$K143&lt;90,SUM($L143:$N143)&gt;0),ROUND(0.25*SUM($L143:$N143),0),0))</f>
        <v/>
      </c>
      <c r="T143" s="11">
        <f>IF($A143="","",MIN(100,SUM($L143:$S143)))</f>
        <v/>
      </c>
      <c r="U143" s="12">
        <f>IF($A143="","",IF($T143&lt;25,"Safe",IF($T143&lt;50,"Watch","At-risk")))</f>
        <v/>
      </c>
      <c r="V143" s="12">
        <f>IF($A143="","",IF($T143=0,"—",INDEX($L$1:$S$1,1,MATCH(MAX($L143:$S143),$L143:$S143,0))))</f>
        <v/>
      </c>
    </row>
    <row r="144">
      <c r="A144" s="13" t="n"/>
      <c r="B144" s="9" t="n"/>
      <c r="C144" s="9" t="n"/>
      <c r="D144" s="10" t="n"/>
      <c r="E144" s="10" t="n"/>
      <c r="F144" s="10" t="n"/>
      <c r="G144" s="10" t="n"/>
      <c r="H144" s="13" t="n"/>
      <c r="I144" s="10" t="n"/>
      <c r="J144" s="10" t="n"/>
      <c r="K144" s="11">
        <f>IF($A144="","",IF($B144="","",MAX(0,'Settings'!$B$3-$B144)))</f>
        <v/>
      </c>
      <c r="L144" s="11">
        <f>IF($A144="","",IF(OR($H144="Paused",AND($B144&lt;&gt;"",'Settings'!$B$3-$B144&lt;=14)),0,IF($E144/12&gt;=0.75,IF(1-($D144/4)/($E144/12)&gt;=0.3,ROUND(30*(1-($D144/4)/($E144/12)),0),0),0)))</f>
        <v/>
      </c>
      <c r="M144" s="11">
        <f>IF($A144="","",IF(OR($H144="Paused",AND($B144&lt;&gt;"",'Settings'!$B$3-$B144&lt;=14)),0,IF($C144="",12,IF(MAX(0,'Settings'!$B$3-$C144)&lt;=7,0,IF(MAX(0,'Settings'!$B$3-$C144)&lt;=14,6,IF(MAX(0,'Settings'!$B$3-$C144)&lt;=21,12,IF(MAX(0,'Settings'!$B$3-$C144)&lt;=35,18,20)))))))</f>
        <v/>
      </c>
      <c r="N144" s="11">
        <f>IF($A144="","",IF(AND($H144&lt;&gt;"Paused",OR($B144="",'Settings'!$B$3-$B144&gt;14),$L144=0,IF($F144&gt;=2,1-$D144/$F144&gt;=0.5,FALSE)),10,0))</f>
        <v/>
      </c>
      <c r="O144" s="11">
        <f>IF($A144="","",MIN(16,$G144*8))</f>
        <v/>
      </c>
      <c r="P144" s="11">
        <f>IF($A144="","",IF($H144="Paused",14,IF($I144&gt;0,6,0)))</f>
        <v/>
      </c>
      <c r="Q144" s="11">
        <f>IF($A144="","",IF($H144="Ended",30,0))</f>
        <v/>
      </c>
      <c r="R144" s="11">
        <f>IF($A144="","",MIN(15,$J144*8))</f>
        <v/>
      </c>
      <c r="S144" s="11">
        <f>IF($A144="","",IF(AND($B144&lt;&gt;"",$K144&lt;90,SUM($L144:$N144)&gt;0),ROUND(0.25*SUM($L144:$N144),0),0))</f>
        <v/>
      </c>
      <c r="T144" s="11">
        <f>IF($A144="","",MIN(100,SUM($L144:$S144)))</f>
        <v/>
      </c>
      <c r="U144" s="12">
        <f>IF($A144="","",IF($T144&lt;25,"Safe",IF($T144&lt;50,"Watch","At-risk")))</f>
        <v/>
      </c>
      <c r="V144" s="12">
        <f>IF($A144="","",IF($T144=0,"—",INDEX($L$1:$S$1,1,MATCH(MAX($L144:$S144),$L144:$S144,0))))</f>
        <v/>
      </c>
    </row>
    <row r="145">
      <c r="A145" s="13" t="n"/>
      <c r="B145" s="9" t="n"/>
      <c r="C145" s="9" t="n"/>
      <c r="D145" s="10" t="n"/>
      <c r="E145" s="10" t="n"/>
      <c r="F145" s="10" t="n"/>
      <c r="G145" s="10" t="n"/>
      <c r="H145" s="13" t="n"/>
      <c r="I145" s="10" t="n"/>
      <c r="J145" s="10" t="n"/>
      <c r="K145" s="11">
        <f>IF($A145="","",IF($B145="","",MAX(0,'Settings'!$B$3-$B145)))</f>
        <v/>
      </c>
      <c r="L145" s="11">
        <f>IF($A145="","",IF(OR($H145="Paused",AND($B145&lt;&gt;"",'Settings'!$B$3-$B145&lt;=14)),0,IF($E145/12&gt;=0.75,IF(1-($D145/4)/($E145/12)&gt;=0.3,ROUND(30*(1-($D145/4)/($E145/12)),0),0),0)))</f>
        <v/>
      </c>
      <c r="M145" s="11">
        <f>IF($A145="","",IF(OR($H145="Paused",AND($B145&lt;&gt;"",'Settings'!$B$3-$B145&lt;=14)),0,IF($C145="",12,IF(MAX(0,'Settings'!$B$3-$C145)&lt;=7,0,IF(MAX(0,'Settings'!$B$3-$C145)&lt;=14,6,IF(MAX(0,'Settings'!$B$3-$C145)&lt;=21,12,IF(MAX(0,'Settings'!$B$3-$C145)&lt;=35,18,20)))))))</f>
        <v/>
      </c>
      <c r="N145" s="11">
        <f>IF($A145="","",IF(AND($H145&lt;&gt;"Paused",OR($B145="",'Settings'!$B$3-$B145&gt;14),$L145=0,IF($F145&gt;=2,1-$D145/$F145&gt;=0.5,FALSE)),10,0))</f>
        <v/>
      </c>
      <c r="O145" s="11">
        <f>IF($A145="","",MIN(16,$G145*8))</f>
        <v/>
      </c>
      <c r="P145" s="11">
        <f>IF($A145="","",IF($H145="Paused",14,IF($I145&gt;0,6,0)))</f>
        <v/>
      </c>
      <c r="Q145" s="11">
        <f>IF($A145="","",IF($H145="Ended",30,0))</f>
        <v/>
      </c>
      <c r="R145" s="11">
        <f>IF($A145="","",MIN(15,$J145*8))</f>
        <v/>
      </c>
      <c r="S145" s="11">
        <f>IF($A145="","",IF(AND($B145&lt;&gt;"",$K145&lt;90,SUM($L145:$N145)&gt;0),ROUND(0.25*SUM($L145:$N145),0),0))</f>
        <v/>
      </c>
      <c r="T145" s="11">
        <f>IF($A145="","",MIN(100,SUM($L145:$S145)))</f>
        <v/>
      </c>
      <c r="U145" s="12">
        <f>IF($A145="","",IF($T145&lt;25,"Safe",IF($T145&lt;50,"Watch","At-risk")))</f>
        <v/>
      </c>
      <c r="V145" s="12">
        <f>IF($A145="","",IF($T145=0,"—",INDEX($L$1:$S$1,1,MATCH(MAX($L145:$S145),$L145:$S145,0))))</f>
        <v/>
      </c>
    </row>
    <row r="146">
      <c r="A146" s="13" t="n"/>
      <c r="B146" s="9" t="n"/>
      <c r="C146" s="9" t="n"/>
      <c r="D146" s="10" t="n"/>
      <c r="E146" s="10" t="n"/>
      <c r="F146" s="10" t="n"/>
      <c r="G146" s="10" t="n"/>
      <c r="H146" s="13" t="n"/>
      <c r="I146" s="10" t="n"/>
      <c r="J146" s="10" t="n"/>
      <c r="K146" s="11">
        <f>IF($A146="","",IF($B146="","",MAX(0,'Settings'!$B$3-$B146)))</f>
        <v/>
      </c>
      <c r="L146" s="11">
        <f>IF($A146="","",IF(OR($H146="Paused",AND($B146&lt;&gt;"",'Settings'!$B$3-$B146&lt;=14)),0,IF($E146/12&gt;=0.75,IF(1-($D146/4)/($E146/12)&gt;=0.3,ROUND(30*(1-($D146/4)/($E146/12)),0),0),0)))</f>
        <v/>
      </c>
      <c r="M146" s="11">
        <f>IF($A146="","",IF(OR($H146="Paused",AND($B146&lt;&gt;"",'Settings'!$B$3-$B146&lt;=14)),0,IF($C146="",12,IF(MAX(0,'Settings'!$B$3-$C146)&lt;=7,0,IF(MAX(0,'Settings'!$B$3-$C146)&lt;=14,6,IF(MAX(0,'Settings'!$B$3-$C146)&lt;=21,12,IF(MAX(0,'Settings'!$B$3-$C146)&lt;=35,18,20)))))))</f>
        <v/>
      </c>
      <c r="N146" s="11">
        <f>IF($A146="","",IF(AND($H146&lt;&gt;"Paused",OR($B146="",'Settings'!$B$3-$B146&gt;14),$L146=0,IF($F146&gt;=2,1-$D146/$F146&gt;=0.5,FALSE)),10,0))</f>
        <v/>
      </c>
      <c r="O146" s="11">
        <f>IF($A146="","",MIN(16,$G146*8))</f>
        <v/>
      </c>
      <c r="P146" s="11">
        <f>IF($A146="","",IF($H146="Paused",14,IF($I146&gt;0,6,0)))</f>
        <v/>
      </c>
      <c r="Q146" s="11">
        <f>IF($A146="","",IF($H146="Ended",30,0))</f>
        <v/>
      </c>
      <c r="R146" s="11">
        <f>IF($A146="","",MIN(15,$J146*8))</f>
        <v/>
      </c>
      <c r="S146" s="11">
        <f>IF($A146="","",IF(AND($B146&lt;&gt;"",$K146&lt;90,SUM($L146:$N146)&gt;0),ROUND(0.25*SUM($L146:$N146),0),0))</f>
        <v/>
      </c>
      <c r="T146" s="11">
        <f>IF($A146="","",MIN(100,SUM($L146:$S146)))</f>
        <v/>
      </c>
      <c r="U146" s="12">
        <f>IF($A146="","",IF($T146&lt;25,"Safe",IF($T146&lt;50,"Watch","At-risk")))</f>
        <v/>
      </c>
      <c r="V146" s="12">
        <f>IF($A146="","",IF($T146=0,"—",INDEX($L$1:$S$1,1,MATCH(MAX($L146:$S146),$L146:$S146,0))))</f>
        <v/>
      </c>
    </row>
    <row r="147">
      <c r="A147" s="13" t="n"/>
      <c r="B147" s="9" t="n"/>
      <c r="C147" s="9" t="n"/>
      <c r="D147" s="10" t="n"/>
      <c r="E147" s="10" t="n"/>
      <c r="F147" s="10" t="n"/>
      <c r="G147" s="10" t="n"/>
      <c r="H147" s="13" t="n"/>
      <c r="I147" s="10" t="n"/>
      <c r="J147" s="10" t="n"/>
      <c r="K147" s="11">
        <f>IF($A147="","",IF($B147="","",MAX(0,'Settings'!$B$3-$B147)))</f>
        <v/>
      </c>
      <c r="L147" s="11">
        <f>IF($A147="","",IF(OR($H147="Paused",AND($B147&lt;&gt;"",'Settings'!$B$3-$B147&lt;=14)),0,IF($E147/12&gt;=0.75,IF(1-($D147/4)/($E147/12)&gt;=0.3,ROUND(30*(1-($D147/4)/($E147/12)),0),0),0)))</f>
        <v/>
      </c>
      <c r="M147" s="11">
        <f>IF($A147="","",IF(OR($H147="Paused",AND($B147&lt;&gt;"",'Settings'!$B$3-$B147&lt;=14)),0,IF($C147="",12,IF(MAX(0,'Settings'!$B$3-$C147)&lt;=7,0,IF(MAX(0,'Settings'!$B$3-$C147)&lt;=14,6,IF(MAX(0,'Settings'!$B$3-$C147)&lt;=21,12,IF(MAX(0,'Settings'!$B$3-$C147)&lt;=35,18,20)))))))</f>
        <v/>
      </c>
      <c r="N147" s="11">
        <f>IF($A147="","",IF(AND($H147&lt;&gt;"Paused",OR($B147="",'Settings'!$B$3-$B147&gt;14),$L147=0,IF($F147&gt;=2,1-$D147/$F147&gt;=0.5,FALSE)),10,0))</f>
        <v/>
      </c>
      <c r="O147" s="11">
        <f>IF($A147="","",MIN(16,$G147*8))</f>
        <v/>
      </c>
      <c r="P147" s="11">
        <f>IF($A147="","",IF($H147="Paused",14,IF($I147&gt;0,6,0)))</f>
        <v/>
      </c>
      <c r="Q147" s="11">
        <f>IF($A147="","",IF($H147="Ended",30,0))</f>
        <v/>
      </c>
      <c r="R147" s="11">
        <f>IF($A147="","",MIN(15,$J147*8))</f>
        <v/>
      </c>
      <c r="S147" s="11">
        <f>IF($A147="","",IF(AND($B147&lt;&gt;"",$K147&lt;90,SUM($L147:$N147)&gt;0),ROUND(0.25*SUM($L147:$N147),0),0))</f>
        <v/>
      </c>
      <c r="T147" s="11">
        <f>IF($A147="","",MIN(100,SUM($L147:$S147)))</f>
        <v/>
      </c>
      <c r="U147" s="12">
        <f>IF($A147="","",IF($T147&lt;25,"Safe",IF($T147&lt;50,"Watch","At-risk")))</f>
        <v/>
      </c>
      <c r="V147" s="12">
        <f>IF($A147="","",IF($T147=0,"—",INDEX($L$1:$S$1,1,MATCH(MAX($L147:$S147),$L147:$S147,0))))</f>
        <v/>
      </c>
    </row>
    <row r="148">
      <c r="A148" s="13" t="n"/>
      <c r="B148" s="9" t="n"/>
      <c r="C148" s="9" t="n"/>
      <c r="D148" s="10" t="n"/>
      <c r="E148" s="10" t="n"/>
      <c r="F148" s="10" t="n"/>
      <c r="G148" s="10" t="n"/>
      <c r="H148" s="13" t="n"/>
      <c r="I148" s="10" t="n"/>
      <c r="J148" s="10" t="n"/>
      <c r="K148" s="11">
        <f>IF($A148="","",IF($B148="","",MAX(0,'Settings'!$B$3-$B148)))</f>
        <v/>
      </c>
      <c r="L148" s="11">
        <f>IF($A148="","",IF(OR($H148="Paused",AND($B148&lt;&gt;"",'Settings'!$B$3-$B148&lt;=14)),0,IF($E148/12&gt;=0.75,IF(1-($D148/4)/($E148/12)&gt;=0.3,ROUND(30*(1-($D148/4)/($E148/12)),0),0),0)))</f>
        <v/>
      </c>
      <c r="M148" s="11">
        <f>IF($A148="","",IF(OR($H148="Paused",AND($B148&lt;&gt;"",'Settings'!$B$3-$B148&lt;=14)),0,IF($C148="",12,IF(MAX(0,'Settings'!$B$3-$C148)&lt;=7,0,IF(MAX(0,'Settings'!$B$3-$C148)&lt;=14,6,IF(MAX(0,'Settings'!$B$3-$C148)&lt;=21,12,IF(MAX(0,'Settings'!$B$3-$C148)&lt;=35,18,20)))))))</f>
        <v/>
      </c>
      <c r="N148" s="11">
        <f>IF($A148="","",IF(AND($H148&lt;&gt;"Paused",OR($B148="",'Settings'!$B$3-$B148&gt;14),$L148=0,IF($F148&gt;=2,1-$D148/$F148&gt;=0.5,FALSE)),10,0))</f>
        <v/>
      </c>
      <c r="O148" s="11">
        <f>IF($A148="","",MIN(16,$G148*8))</f>
        <v/>
      </c>
      <c r="P148" s="11">
        <f>IF($A148="","",IF($H148="Paused",14,IF($I148&gt;0,6,0)))</f>
        <v/>
      </c>
      <c r="Q148" s="11">
        <f>IF($A148="","",IF($H148="Ended",30,0))</f>
        <v/>
      </c>
      <c r="R148" s="11">
        <f>IF($A148="","",MIN(15,$J148*8))</f>
        <v/>
      </c>
      <c r="S148" s="11">
        <f>IF($A148="","",IF(AND($B148&lt;&gt;"",$K148&lt;90,SUM($L148:$N148)&gt;0),ROUND(0.25*SUM($L148:$N148),0),0))</f>
        <v/>
      </c>
      <c r="T148" s="11">
        <f>IF($A148="","",MIN(100,SUM($L148:$S148)))</f>
        <v/>
      </c>
      <c r="U148" s="12">
        <f>IF($A148="","",IF($T148&lt;25,"Safe",IF($T148&lt;50,"Watch","At-risk")))</f>
        <v/>
      </c>
      <c r="V148" s="12">
        <f>IF($A148="","",IF($T148=0,"—",INDEX($L$1:$S$1,1,MATCH(MAX($L148:$S148),$L148:$S148,0))))</f>
        <v/>
      </c>
    </row>
    <row r="149">
      <c r="A149" s="13" t="n"/>
      <c r="B149" s="9" t="n"/>
      <c r="C149" s="9" t="n"/>
      <c r="D149" s="10" t="n"/>
      <c r="E149" s="10" t="n"/>
      <c r="F149" s="10" t="n"/>
      <c r="G149" s="10" t="n"/>
      <c r="H149" s="13" t="n"/>
      <c r="I149" s="10" t="n"/>
      <c r="J149" s="10" t="n"/>
      <c r="K149" s="11">
        <f>IF($A149="","",IF($B149="","",MAX(0,'Settings'!$B$3-$B149)))</f>
        <v/>
      </c>
      <c r="L149" s="11">
        <f>IF($A149="","",IF(OR($H149="Paused",AND($B149&lt;&gt;"",'Settings'!$B$3-$B149&lt;=14)),0,IF($E149/12&gt;=0.75,IF(1-($D149/4)/($E149/12)&gt;=0.3,ROUND(30*(1-($D149/4)/($E149/12)),0),0),0)))</f>
        <v/>
      </c>
      <c r="M149" s="11">
        <f>IF($A149="","",IF(OR($H149="Paused",AND($B149&lt;&gt;"",'Settings'!$B$3-$B149&lt;=14)),0,IF($C149="",12,IF(MAX(0,'Settings'!$B$3-$C149)&lt;=7,0,IF(MAX(0,'Settings'!$B$3-$C149)&lt;=14,6,IF(MAX(0,'Settings'!$B$3-$C149)&lt;=21,12,IF(MAX(0,'Settings'!$B$3-$C149)&lt;=35,18,20)))))))</f>
        <v/>
      </c>
      <c r="N149" s="11">
        <f>IF($A149="","",IF(AND($H149&lt;&gt;"Paused",OR($B149="",'Settings'!$B$3-$B149&gt;14),$L149=0,IF($F149&gt;=2,1-$D149/$F149&gt;=0.5,FALSE)),10,0))</f>
        <v/>
      </c>
      <c r="O149" s="11">
        <f>IF($A149="","",MIN(16,$G149*8))</f>
        <v/>
      </c>
      <c r="P149" s="11">
        <f>IF($A149="","",IF($H149="Paused",14,IF($I149&gt;0,6,0)))</f>
        <v/>
      </c>
      <c r="Q149" s="11">
        <f>IF($A149="","",IF($H149="Ended",30,0))</f>
        <v/>
      </c>
      <c r="R149" s="11">
        <f>IF($A149="","",MIN(15,$J149*8))</f>
        <v/>
      </c>
      <c r="S149" s="11">
        <f>IF($A149="","",IF(AND($B149&lt;&gt;"",$K149&lt;90,SUM($L149:$N149)&gt;0),ROUND(0.25*SUM($L149:$N149),0),0))</f>
        <v/>
      </c>
      <c r="T149" s="11">
        <f>IF($A149="","",MIN(100,SUM($L149:$S149)))</f>
        <v/>
      </c>
      <c r="U149" s="12">
        <f>IF($A149="","",IF($T149&lt;25,"Safe",IF($T149&lt;50,"Watch","At-risk")))</f>
        <v/>
      </c>
      <c r="V149" s="12">
        <f>IF($A149="","",IF($T149=0,"—",INDEX($L$1:$S$1,1,MATCH(MAX($L149:$S149),$L149:$S149,0))))</f>
        <v/>
      </c>
    </row>
    <row r="150">
      <c r="A150" s="13" t="n"/>
      <c r="B150" s="9" t="n"/>
      <c r="C150" s="9" t="n"/>
      <c r="D150" s="10" t="n"/>
      <c r="E150" s="10" t="n"/>
      <c r="F150" s="10" t="n"/>
      <c r="G150" s="10" t="n"/>
      <c r="H150" s="13" t="n"/>
      <c r="I150" s="10" t="n"/>
      <c r="J150" s="10" t="n"/>
      <c r="K150" s="11">
        <f>IF($A150="","",IF($B150="","",MAX(0,'Settings'!$B$3-$B150)))</f>
        <v/>
      </c>
      <c r="L150" s="11">
        <f>IF($A150="","",IF(OR($H150="Paused",AND($B150&lt;&gt;"",'Settings'!$B$3-$B150&lt;=14)),0,IF($E150/12&gt;=0.75,IF(1-($D150/4)/($E150/12)&gt;=0.3,ROUND(30*(1-($D150/4)/($E150/12)),0),0),0)))</f>
        <v/>
      </c>
      <c r="M150" s="11">
        <f>IF($A150="","",IF(OR($H150="Paused",AND($B150&lt;&gt;"",'Settings'!$B$3-$B150&lt;=14)),0,IF($C150="",12,IF(MAX(0,'Settings'!$B$3-$C150)&lt;=7,0,IF(MAX(0,'Settings'!$B$3-$C150)&lt;=14,6,IF(MAX(0,'Settings'!$B$3-$C150)&lt;=21,12,IF(MAX(0,'Settings'!$B$3-$C150)&lt;=35,18,20)))))))</f>
        <v/>
      </c>
      <c r="N150" s="11">
        <f>IF($A150="","",IF(AND($H150&lt;&gt;"Paused",OR($B150="",'Settings'!$B$3-$B150&gt;14),$L150=0,IF($F150&gt;=2,1-$D150/$F150&gt;=0.5,FALSE)),10,0))</f>
        <v/>
      </c>
      <c r="O150" s="11">
        <f>IF($A150="","",MIN(16,$G150*8))</f>
        <v/>
      </c>
      <c r="P150" s="11">
        <f>IF($A150="","",IF($H150="Paused",14,IF($I150&gt;0,6,0)))</f>
        <v/>
      </c>
      <c r="Q150" s="11">
        <f>IF($A150="","",IF($H150="Ended",30,0))</f>
        <v/>
      </c>
      <c r="R150" s="11">
        <f>IF($A150="","",MIN(15,$J150*8))</f>
        <v/>
      </c>
      <c r="S150" s="11">
        <f>IF($A150="","",IF(AND($B150&lt;&gt;"",$K150&lt;90,SUM($L150:$N150)&gt;0),ROUND(0.25*SUM($L150:$N150),0),0))</f>
        <v/>
      </c>
      <c r="T150" s="11">
        <f>IF($A150="","",MIN(100,SUM($L150:$S150)))</f>
        <v/>
      </c>
      <c r="U150" s="12">
        <f>IF($A150="","",IF($T150&lt;25,"Safe",IF($T150&lt;50,"Watch","At-risk")))</f>
        <v/>
      </c>
      <c r="V150" s="12">
        <f>IF($A150="","",IF($T150=0,"—",INDEX($L$1:$S$1,1,MATCH(MAX($L150:$S150),$L150:$S150,0))))</f>
        <v/>
      </c>
    </row>
    <row r="151">
      <c r="A151" s="13" t="n"/>
      <c r="B151" s="9" t="n"/>
      <c r="C151" s="9" t="n"/>
      <c r="D151" s="10" t="n"/>
      <c r="E151" s="10" t="n"/>
      <c r="F151" s="10" t="n"/>
      <c r="G151" s="10" t="n"/>
      <c r="H151" s="13" t="n"/>
      <c r="I151" s="10" t="n"/>
      <c r="J151" s="10" t="n"/>
      <c r="K151" s="11">
        <f>IF($A151="","",IF($B151="","",MAX(0,'Settings'!$B$3-$B151)))</f>
        <v/>
      </c>
      <c r="L151" s="11">
        <f>IF($A151="","",IF(OR($H151="Paused",AND($B151&lt;&gt;"",'Settings'!$B$3-$B151&lt;=14)),0,IF($E151/12&gt;=0.75,IF(1-($D151/4)/($E151/12)&gt;=0.3,ROUND(30*(1-($D151/4)/($E151/12)),0),0),0)))</f>
        <v/>
      </c>
      <c r="M151" s="11">
        <f>IF($A151="","",IF(OR($H151="Paused",AND($B151&lt;&gt;"",'Settings'!$B$3-$B151&lt;=14)),0,IF($C151="",12,IF(MAX(0,'Settings'!$B$3-$C151)&lt;=7,0,IF(MAX(0,'Settings'!$B$3-$C151)&lt;=14,6,IF(MAX(0,'Settings'!$B$3-$C151)&lt;=21,12,IF(MAX(0,'Settings'!$B$3-$C151)&lt;=35,18,20)))))))</f>
        <v/>
      </c>
      <c r="N151" s="11">
        <f>IF($A151="","",IF(AND($H151&lt;&gt;"Paused",OR($B151="",'Settings'!$B$3-$B151&gt;14),$L151=0,IF($F151&gt;=2,1-$D151/$F151&gt;=0.5,FALSE)),10,0))</f>
        <v/>
      </c>
      <c r="O151" s="11">
        <f>IF($A151="","",MIN(16,$G151*8))</f>
        <v/>
      </c>
      <c r="P151" s="11">
        <f>IF($A151="","",IF($H151="Paused",14,IF($I151&gt;0,6,0)))</f>
        <v/>
      </c>
      <c r="Q151" s="11">
        <f>IF($A151="","",IF($H151="Ended",30,0))</f>
        <v/>
      </c>
      <c r="R151" s="11">
        <f>IF($A151="","",MIN(15,$J151*8))</f>
        <v/>
      </c>
      <c r="S151" s="11">
        <f>IF($A151="","",IF(AND($B151&lt;&gt;"",$K151&lt;90,SUM($L151:$N151)&gt;0),ROUND(0.25*SUM($L151:$N151),0),0))</f>
        <v/>
      </c>
      <c r="T151" s="11">
        <f>IF($A151="","",MIN(100,SUM($L151:$S151)))</f>
        <v/>
      </c>
      <c r="U151" s="12">
        <f>IF($A151="","",IF($T151&lt;25,"Safe",IF($T151&lt;50,"Watch","At-risk")))</f>
        <v/>
      </c>
      <c r="V151" s="12">
        <f>IF($A151="","",IF($T151=0,"—",INDEX($L$1:$S$1,1,MATCH(MAX($L151:$S151),$L151:$S151,0))))</f>
        <v/>
      </c>
    </row>
    <row r="152">
      <c r="A152" s="13" t="n"/>
      <c r="B152" s="9" t="n"/>
      <c r="C152" s="9" t="n"/>
      <c r="D152" s="10" t="n"/>
      <c r="E152" s="10" t="n"/>
      <c r="F152" s="10" t="n"/>
      <c r="G152" s="10" t="n"/>
      <c r="H152" s="13" t="n"/>
      <c r="I152" s="10" t="n"/>
      <c r="J152" s="10" t="n"/>
      <c r="K152" s="11">
        <f>IF($A152="","",IF($B152="","",MAX(0,'Settings'!$B$3-$B152)))</f>
        <v/>
      </c>
      <c r="L152" s="11">
        <f>IF($A152="","",IF(OR($H152="Paused",AND($B152&lt;&gt;"",'Settings'!$B$3-$B152&lt;=14)),0,IF($E152/12&gt;=0.75,IF(1-($D152/4)/($E152/12)&gt;=0.3,ROUND(30*(1-($D152/4)/($E152/12)),0),0),0)))</f>
        <v/>
      </c>
      <c r="M152" s="11">
        <f>IF($A152="","",IF(OR($H152="Paused",AND($B152&lt;&gt;"",'Settings'!$B$3-$B152&lt;=14)),0,IF($C152="",12,IF(MAX(0,'Settings'!$B$3-$C152)&lt;=7,0,IF(MAX(0,'Settings'!$B$3-$C152)&lt;=14,6,IF(MAX(0,'Settings'!$B$3-$C152)&lt;=21,12,IF(MAX(0,'Settings'!$B$3-$C152)&lt;=35,18,20)))))))</f>
        <v/>
      </c>
      <c r="N152" s="11">
        <f>IF($A152="","",IF(AND($H152&lt;&gt;"Paused",OR($B152="",'Settings'!$B$3-$B152&gt;14),$L152=0,IF($F152&gt;=2,1-$D152/$F152&gt;=0.5,FALSE)),10,0))</f>
        <v/>
      </c>
      <c r="O152" s="11">
        <f>IF($A152="","",MIN(16,$G152*8))</f>
        <v/>
      </c>
      <c r="P152" s="11">
        <f>IF($A152="","",IF($H152="Paused",14,IF($I152&gt;0,6,0)))</f>
        <v/>
      </c>
      <c r="Q152" s="11">
        <f>IF($A152="","",IF($H152="Ended",30,0))</f>
        <v/>
      </c>
      <c r="R152" s="11">
        <f>IF($A152="","",MIN(15,$J152*8))</f>
        <v/>
      </c>
      <c r="S152" s="11">
        <f>IF($A152="","",IF(AND($B152&lt;&gt;"",$K152&lt;90,SUM($L152:$N152)&gt;0),ROUND(0.25*SUM($L152:$N152),0),0))</f>
        <v/>
      </c>
      <c r="T152" s="11">
        <f>IF($A152="","",MIN(100,SUM($L152:$S152)))</f>
        <v/>
      </c>
      <c r="U152" s="12">
        <f>IF($A152="","",IF($T152&lt;25,"Safe",IF($T152&lt;50,"Watch","At-risk")))</f>
        <v/>
      </c>
      <c r="V152" s="12">
        <f>IF($A152="","",IF($T152=0,"—",INDEX($L$1:$S$1,1,MATCH(MAX($L152:$S152),$L152:$S152,0))))</f>
        <v/>
      </c>
    </row>
    <row r="153">
      <c r="A153" s="13" t="n"/>
      <c r="B153" s="9" t="n"/>
      <c r="C153" s="9" t="n"/>
      <c r="D153" s="10" t="n"/>
      <c r="E153" s="10" t="n"/>
      <c r="F153" s="10" t="n"/>
      <c r="G153" s="10" t="n"/>
      <c r="H153" s="13" t="n"/>
      <c r="I153" s="10" t="n"/>
      <c r="J153" s="10" t="n"/>
      <c r="K153" s="11">
        <f>IF($A153="","",IF($B153="","",MAX(0,'Settings'!$B$3-$B153)))</f>
        <v/>
      </c>
      <c r="L153" s="11">
        <f>IF($A153="","",IF(OR($H153="Paused",AND($B153&lt;&gt;"",'Settings'!$B$3-$B153&lt;=14)),0,IF($E153/12&gt;=0.75,IF(1-($D153/4)/($E153/12)&gt;=0.3,ROUND(30*(1-($D153/4)/($E153/12)),0),0),0)))</f>
        <v/>
      </c>
      <c r="M153" s="11">
        <f>IF($A153="","",IF(OR($H153="Paused",AND($B153&lt;&gt;"",'Settings'!$B$3-$B153&lt;=14)),0,IF($C153="",12,IF(MAX(0,'Settings'!$B$3-$C153)&lt;=7,0,IF(MAX(0,'Settings'!$B$3-$C153)&lt;=14,6,IF(MAX(0,'Settings'!$B$3-$C153)&lt;=21,12,IF(MAX(0,'Settings'!$B$3-$C153)&lt;=35,18,20)))))))</f>
        <v/>
      </c>
      <c r="N153" s="11">
        <f>IF($A153="","",IF(AND($H153&lt;&gt;"Paused",OR($B153="",'Settings'!$B$3-$B153&gt;14),$L153=0,IF($F153&gt;=2,1-$D153/$F153&gt;=0.5,FALSE)),10,0))</f>
        <v/>
      </c>
      <c r="O153" s="11">
        <f>IF($A153="","",MIN(16,$G153*8))</f>
        <v/>
      </c>
      <c r="P153" s="11">
        <f>IF($A153="","",IF($H153="Paused",14,IF($I153&gt;0,6,0)))</f>
        <v/>
      </c>
      <c r="Q153" s="11">
        <f>IF($A153="","",IF($H153="Ended",30,0))</f>
        <v/>
      </c>
      <c r="R153" s="11">
        <f>IF($A153="","",MIN(15,$J153*8))</f>
        <v/>
      </c>
      <c r="S153" s="11">
        <f>IF($A153="","",IF(AND($B153&lt;&gt;"",$K153&lt;90,SUM($L153:$N153)&gt;0),ROUND(0.25*SUM($L153:$N153),0),0))</f>
        <v/>
      </c>
      <c r="T153" s="11">
        <f>IF($A153="","",MIN(100,SUM($L153:$S153)))</f>
        <v/>
      </c>
      <c r="U153" s="12">
        <f>IF($A153="","",IF($T153&lt;25,"Safe",IF($T153&lt;50,"Watch","At-risk")))</f>
        <v/>
      </c>
      <c r="V153" s="12">
        <f>IF($A153="","",IF($T153=0,"—",INDEX($L$1:$S$1,1,MATCH(MAX($L153:$S153),$L153:$S153,0))))</f>
        <v/>
      </c>
    </row>
    <row r="154">
      <c r="A154" s="13" t="n"/>
      <c r="B154" s="9" t="n"/>
      <c r="C154" s="9" t="n"/>
      <c r="D154" s="10" t="n"/>
      <c r="E154" s="10" t="n"/>
      <c r="F154" s="10" t="n"/>
      <c r="G154" s="10" t="n"/>
      <c r="H154" s="13" t="n"/>
      <c r="I154" s="10" t="n"/>
      <c r="J154" s="10" t="n"/>
      <c r="K154" s="11">
        <f>IF($A154="","",IF($B154="","",MAX(0,'Settings'!$B$3-$B154)))</f>
        <v/>
      </c>
      <c r="L154" s="11">
        <f>IF($A154="","",IF(OR($H154="Paused",AND($B154&lt;&gt;"",'Settings'!$B$3-$B154&lt;=14)),0,IF($E154/12&gt;=0.75,IF(1-($D154/4)/($E154/12)&gt;=0.3,ROUND(30*(1-($D154/4)/($E154/12)),0),0),0)))</f>
        <v/>
      </c>
      <c r="M154" s="11">
        <f>IF($A154="","",IF(OR($H154="Paused",AND($B154&lt;&gt;"",'Settings'!$B$3-$B154&lt;=14)),0,IF($C154="",12,IF(MAX(0,'Settings'!$B$3-$C154)&lt;=7,0,IF(MAX(0,'Settings'!$B$3-$C154)&lt;=14,6,IF(MAX(0,'Settings'!$B$3-$C154)&lt;=21,12,IF(MAX(0,'Settings'!$B$3-$C154)&lt;=35,18,20)))))))</f>
        <v/>
      </c>
      <c r="N154" s="11">
        <f>IF($A154="","",IF(AND($H154&lt;&gt;"Paused",OR($B154="",'Settings'!$B$3-$B154&gt;14),$L154=0,IF($F154&gt;=2,1-$D154/$F154&gt;=0.5,FALSE)),10,0))</f>
        <v/>
      </c>
      <c r="O154" s="11">
        <f>IF($A154="","",MIN(16,$G154*8))</f>
        <v/>
      </c>
      <c r="P154" s="11">
        <f>IF($A154="","",IF($H154="Paused",14,IF($I154&gt;0,6,0)))</f>
        <v/>
      </c>
      <c r="Q154" s="11">
        <f>IF($A154="","",IF($H154="Ended",30,0))</f>
        <v/>
      </c>
      <c r="R154" s="11">
        <f>IF($A154="","",MIN(15,$J154*8))</f>
        <v/>
      </c>
      <c r="S154" s="11">
        <f>IF($A154="","",IF(AND($B154&lt;&gt;"",$K154&lt;90,SUM($L154:$N154)&gt;0),ROUND(0.25*SUM($L154:$N154),0),0))</f>
        <v/>
      </c>
      <c r="T154" s="11">
        <f>IF($A154="","",MIN(100,SUM($L154:$S154)))</f>
        <v/>
      </c>
      <c r="U154" s="12">
        <f>IF($A154="","",IF($T154&lt;25,"Safe",IF($T154&lt;50,"Watch","At-risk")))</f>
        <v/>
      </c>
      <c r="V154" s="12">
        <f>IF($A154="","",IF($T154=0,"—",INDEX($L$1:$S$1,1,MATCH(MAX($L154:$S154),$L154:$S154,0))))</f>
        <v/>
      </c>
    </row>
    <row r="155">
      <c r="A155" s="13" t="n"/>
      <c r="B155" s="9" t="n"/>
      <c r="C155" s="9" t="n"/>
      <c r="D155" s="10" t="n"/>
      <c r="E155" s="10" t="n"/>
      <c r="F155" s="10" t="n"/>
      <c r="G155" s="10" t="n"/>
      <c r="H155" s="13" t="n"/>
      <c r="I155" s="10" t="n"/>
      <c r="J155" s="10" t="n"/>
      <c r="K155" s="11">
        <f>IF($A155="","",IF($B155="","",MAX(0,'Settings'!$B$3-$B155)))</f>
        <v/>
      </c>
      <c r="L155" s="11">
        <f>IF($A155="","",IF(OR($H155="Paused",AND($B155&lt;&gt;"",'Settings'!$B$3-$B155&lt;=14)),0,IF($E155/12&gt;=0.75,IF(1-($D155/4)/($E155/12)&gt;=0.3,ROUND(30*(1-($D155/4)/($E155/12)),0),0),0)))</f>
        <v/>
      </c>
      <c r="M155" s="11">
        <f>IF($A155="","",IF(OR($H155="Paused",AND($B155&lt;&gt;"",'Settings'!$B$3-$B155&lt;=14)),0,IF($C155="",12,IF(MAX(0,'Settings'!$B$3-$C155)&lt;=7,0,IF(MAX(0,'Settings'!$B$3-$C155)&lt;=14,6,IF(MAX(0,'Settings'!$B$3-$C155)&lt;=21,12,IF(MAX(0,'Settings'!$B$3-$C155)&lt;=35,18,20)))))))</f>
        <v/>
      </c>
      <c r="N155" s="11">
        <f>IF($A155="","",IF(AND($H155&lt;&gt;"Paused",OR($B155="",'Settings'!$B$3-$B155&gt;14),$L155=0,IF($F155&gt;=2,1-$D155/$F155&gt;=0.5,FALSE)),10,0))</f>
        <v/>
      </c>
      <c r="O155" s="11">
        <f>IF($A155="","",MIN(16,$G155*8))</f>
        <v/>
      </c>
      <c r="P155" s="11">
        <f>IF($A155="","",IF($H155="Paused",14,IF($I155&gt;0,6,0)))</f>
        <v/>
      </c>
      <c r="Q155" s="11">
        <f>IF($A155="","",IF($H155="Ended",30,0))</f>
        <v/>
      </c>
      <c r="R155" s="11">
        <f>IF($A155="","",MIN(15,$J155*8))</f>
        <v/>
      </c>
      <c r="S155" s="11">
        <f>IF($A155="","",IF(AND($B155&lt;&gt;"",$K155&lt;90,SUM($L155:$N155)&gt;0),ROUND(0.25*SUM($L155:$N155),0),0))</f>
        <v/>
      </c>
      <c r="T155" s="11">
        <f>IF($A155="","",MIN(100,SUM($L155:$S155)))</f>
        <v/>
      </c>
      <c r="U155" s="12">
        <f>IF($A155="","",IF($T155&lt;25,"Safe",IF($T155&lt;50,"Watch","At-risk")))</f>
        <v/>
      </c>
      <c r="V155" s="12">
        <f>IF($A155="","",IF($T155=0,"—",INDEX($L$1:$S$1,1,MATCH(MAX($L155:$S155),$L155:$S155,0))))</f>
        <v/>
      </c>
    </row>
    <row r="156">
      <c r="A156" s="13" t="n"/>
      <c r="B156" s="9" t="n"/>
      <c r="C156" s="9" t="n"/>
      <c r="D156" s="10" t="n"/>
      <c r="E156" s="10" t="n"/>
      <c r="F156" s="10" t="n"/>
      <c r="G156" s="10" t="n"/>
      <c r="H156" s="13" t="n"/>
      <c r="I156" s="10" t="n"/>
      <c r="J156" s="10" t="n"/>
      <c r="K156" s="11">
        <f>IF($A156="","",IF($B156="","",MAX(0,'Settings'!$B$3-$B156)))</f>
        <v/>
      </c>
      <c r="L156" s="11">
        <f>IF($A156="","",IF(OR($H156="Paused",AND($B156&lt;&gt;"",'Settings'!$B$3-$B156&lt;=14)),0,IF($E156/12&gt;=0.75,IF(1-($D156/4)/($E156/12)&gt;=0.3,ROUND(30*(1-($D156/4)/($E156/12)),0),0),0)))</f>
        <v/>
      </c>
      <c r="M156" s="11">
        <f>IF($A156="","",IF(OR($H156="Paused",AND($B156&lt;&gt;"",'Settings'!$B$3-$B156&lt;=14)),0,IF($C156="",12,IF(MAX(0,'Settings'!$B$3-$C156)&lt;=7,0,IF(MAX(0,'Settings'!$B$3-$C156)&lt;=14,6,IF(MAX(0,'Settings'!$B$3-$C156)&lt;=21,12,IF(MAX(0,'Settings'!$B$3-$C156)&lt;=35,18,20)))))))</f>
        <v/>
      </c>
      <c r="N156" s="11">
        <f>IF($A156="","",IF(AND($H156&lt;&gt;"Paused",OR($B156="",'Settings'!$B$3-$B156&gt;14),$L156=0,IF($F156&gt;=2,1-$D156/$F156&gt;=0.5,FALSE)),10,0))</f>
        <v/>
      </c>
      <c r="O156" s="11">
        <f>IF($A156="","",MIN(16,$G156*8))</f>
        <v/>
      </c>
      <c r="P156" s="11">
        <f>IF($A156="","",IF($H156="Paused",14,IF($I156&gt;0,6,0)))</f>
        <v/>
      </c>
      <c r="Q156" s="11">
        <f>IF($A156="","",IF($H156="Ended",30,0))</f>
        <v/>
      </c>
      <c r="R156" s="11">
        <f>IF($A156="","",MIN(15,$J156*8))</f>
        <v/>
      </c>
      <c r="S156" s="11">
        <f>IF($A156="","",IF(AND($B156&lt;&gt;"",$K156&lt;90,SUM($L156:$N156)&gt;0),ROUND(0.25*SUM($L156:$N156),0),0))</f>
        <v/>
      </c>
      <c r="T156" s="11">
        <f>IF($A156="","",MIN(100,SUM($L156:$S156)))</f>
        <v/>
      </c>
      <c r="U156" s="12">
        <f>IF($A156="","",IF($T156&lt;25,"Safe",IF($T156&lt;50,"Watch","At-risk")))</f>
        <v/>
      </c>
      <c r="V156" s="12">
        <f>IF($A156="","",IF($T156=0,"—",INDEX($L$1:$S$1,1,MATCH(MAX($L156:$S156),$L156:$S156,0))))</f>
        <v/>
      </c>
    </row>
    <row r="157">
      <c r="A157" s="13" t="n"/>
      <c r="B157" s="9" t="n"/>
      <c r="C157" s="9" t="n"/>
      <c r="D157" s="10" t="n"/>
      <c r="E157" s="10" t="n"/>
      <c r="F157" s="10" t="n"/>
      <c r="G157" s="10" t="n"/>
      <c r="H157" s="13" t="n"/>
      <c r="I157" s="10" t="n"/>
      <c r="J157" s="10" t="n"/>
      <c r="K157" s="11">
        <f>IF($A157="","",IF($B157="","",MAX(0,'Settings'!$B$3-$B157)))</f>
        <v/>
      </c>
      <c r="L157" s="11">
        <f>IF($A157="","",IF(OR($H157="Paused",AND($B157&lt;&gt;"",'Settings'!$B$3-$B157&lt;=14)),0,IF($E157/12&gt;=0.75,IF(1-($D157/4)/($E157/12)&gt;=0.3,ROUND(30*(1-($D157/4)/($E157/12)),0),0),0)))</f>
        <v/>
      </c>
      <c r="M157" s="11">
        <f>IF($A157="","",IF(OR($H157="Paused",AND($B157&lt;&gt;"",'Settings'!$B$3-$B157&lt;=14)),0,IF($C157="",12,IF(MAX(0,'Settings'!$B$3-$C157)&lt;=7,0,IF(MAX(0,'Settings'!$B$3-$C157)&lt;=14,6,IF(MAX(0,'Settings'!$B$3-$C157)&lt;=21,12,IF(MAX(0,'Settings'!$B$3-$C157)&lt;=35,18,20)))))))</f>
        <v/>
      </c>
      <c r="N157" s="11">
        <f>IF($A157="","",IF(AND($H157&lt;&gt;"Paused",OR($B157="",'Settings'!$B$3-$B157&gt;14),$L157=0,IF($F157&gt;=2,1-$D157/$F157&gt;=0.5,FALSE)),10,0))</f>
        <v/>
      </c>
      <c r="O157" s="11">
        <f>IF($A157="","",MIN(16,$G157*8))</f>
        <v/>
      </c>
      <c r="P157" s="11">
        <f>IF($A157="","",IF($H157="Paused",14,IF($I157&gt;0,6,0)))</f>
        <v/>
      </c>
      <c r="Q157" s="11">
        <f>IF($A157="","",IF($H157="Ended",30,0))</f>
        <v/>
      </c>
      <c r="R157" s="11">
        <f>IF($A157="","",MIN(15,$J157*8))</f>
        <v/>
      </c>
      <c r="S157" s="11">
        <f>IF($A157="","",IF(AND($B157&lt;&gt;"",$K157&lt;90,SUM($L157:$N157)&gt;0),ROUND(0.25*SUM($L157:$N157),0),0))</f>
        <v/>
      </c>
      <c r="T157" s="11">
        <f>IF($A157="","",MIN(100,SUM($L157:$S157)))</f>
        <v/>
      </c>
      <c r="U157" s="12">
        <f>IF($A157="","",IF($T157&lt;25,"Safe",IF($T157&lt;50,"Watch","At-risk")))</f>
        <v/>
      </c>
      <c r="V157" s="12">
        <f>IF($A157="","",IF($T157=0,"—",INDEX($L$1:$S$1,1,MATCH(MAX($L157:$S157),$L157:$S157,0))))</f>
        <v/>
      </c>
    </row>
    <row r="158">
      <c r="A158" s="13" t="n"/>
      <c r="B158" s="9" t="n"/>
      <c r="C158" s="9" t="n"/>
      <c r="D158" s="10" t="n"/>
      <c r="E158" s="10" t="n"/>
      <c r="F158" s="10" t="n"/>
      <c r="G158" s="10" t="n"/>
      <c r="H158" s="13" t="n"/>
      <c r="I158" s="10" t="n"/>
      <c r="J158" s="10" t="n"/>
      <c r="K158" s="11">
        <f>IF($A158="","",IF($B158="","",MAX(0,'Settings'!$B$3-$B158)))</f>
        <v/>
      </c>
      <c r="L158" s="11">
        <f>IF($A158="","",IF(OR($H158="Paused",AND($B158&lt;&gt;"",'Settings'!$B$3-$B158&lt;=14)),0,IF($E158/12&gt;=0.75,IF(1-($D158/4)/($E158/12)&gt;=0.3,ROUND(30*(1-($D158/4)/($E158/12)),0),0),0)))</f>
        <v/>
      </c>
      <c r="M158" s="11">
        <f>IF($A158="","",IF(OR($H158="Paused",AND($B158&lt;&gt;"",'Settings'!$B$3-$B158&lt;=14)),0,IF($C158="",12,IF(MAX(0,'Settings'!$B$3-$C158)&lt;=7,0,IF(MAX(0,'Settings'!$B$3-$C158)&lt;=14,6,IF(MAX(0,'Settings'!$B$3-$C158)&lt;=21,12,IF(MAX(0,'Settings'!$B$3-$C158)&lt;=35,18,20)))))))</f>
        <v/>
      </c>
      <c r="N158" s="11">
        <f>IF($A158="","",IF(AND($H158&lt;&gt;"Paused",OR($B158="",'Settings'!$B$3-$B158&gt;14),$L158=0,IF($F158&gt;=2,1-$D158/$F158&gt;=0.5,FALSE)),10,0))</f>
        <v/>
      </c>
      <c r="O158" s="11">
        <f>IF($A158="","",MIN(16,$G158*8))</f>
        <v/>
      </c>
      <c r="P158" s="11">
        <f>IF($A158="","",IF($H158="Paused",14,IF($I158&gt;0,6,0)))</f>
        <v/>
      </c>
      <c r="Q158" s="11">
        <f>IF($A158="","",IF($H158="Ended",30,0))</f>
        <v/>
      </c>
      <c r="R158" s="11">
        <f>IF($A158="","",MIN(15,$J158*8))</f>
        <v/>
      </c>
      <c r="S158" s="11">
        <f>IF($A158="","",IF(AND($B158&lt;&gt;"",$K158&lt;90,SUM($L158:$N158)&gt;0),ROUND(0.25*SUM($L158:$N158),0),0))</f>
        <v/>
      </c>
      <c r="T158" s="11">
        <f>IF($A158="","",MIN(100,SUM($L158:$S158)))</f>
        <v/>
      </c>
      <c r="U158" s="12">
        <f>IF($A158="","",IF($T158&lt;25,"Safe",IF($T158&lt;50,"Watch","At-risk")))</f>
        <v/>
      </c>
      <c r="V158" s="12">
        <f>IF($A158="","",IF($T158=0,"—",INDEX($L$1:$S$1,1,MATCH(MAX($L158:$S158),$L158:$S158,0))))</f>
        <v/>
      </c>
    </row>
    <row r="159">
      <c r="A159" s="13" t="n"/>
      <c r="B159" s="9" t="n"/>
      <c r="C159" s="9" t="n"/>
      <c r="D159" s="10" t="n"/>
      <c r="E159" s="10" t="n"/>
      <c r="F159" s="10" t="n"/>
      <c r="G159" s="10" t="n"/>
      <c r="H159" s="13" t="n"/>
      <c r="I159" s="10" t="n"/>
      <c r="J159" s="10" t="n"/>
      <c r="K159" s="11">
        <f>IF($A159="","",IF($B159="","",MAX(0,'Settings'!$B$3-$B159)))</f>
        <v/>
      </c>
      <c r="L159" s="11">
        <f>IF($A159="","",IF(OR($H159="Paused",AND($B159&lt;&gt;"",'Settings'!$B$3-$B159&lt;=14)),0,IF($E159/12&gt;=0.75,IF(1-($D159/4)/($E159/12)&gt;=0.3,ROUND(30*(1-($D159/4)/($E159/12)),0),0),0)))</f>
        <v/>
      </c>
      <c r="M159" s="11">
        <f>IF($A159="","",IF(OR($H159="Paused",AND($B159&lt;&gt;"",'Settings'!$B$3-$B159&lt;=14)),0,IF($C159="",12,IF(MAX(0,'Settings'!$B$3-$C159)&lt;=7,0,IF(MAX(0,'Settings'!$B$3-$C159)&lt;=14,6,IF(MAX(0,'Settings'!$B$3-$C159)&lt;=21,12,IF(MAX(0,'Settings'!$B$3-$C159)&lt;=35,18,20)))))))</f>
        <v/>
      </c>
      <c r="N159" s="11">
        <f>IF($A159="","",IF(AND($H159&lt;&gt;"Paused",OR($B159="",'Settings'!$B$3-$B159&gt;14),$L159=0,IF($F159&gt;=2,1-$D159/$F159&gt;=0.5,FALSE)),10,0))</f>
        <v/>
      </c>
      <c r="O159" s="11">
        <f>IF($A159="","",MIN(16,$G159*8))</f>
        <v/>
      </c>
      <c r="P159" s="11">
        <f>IF($A159="","",IF($H159="Paused",14,IF($I159&gt;0,6,0)))</f>
        <v/>
      </c>
      <c r="Q159" s="11">
        <f>IF($A159="","",IF($H159="Ended",30,0))</f>
        <v/>
      </c>
      <c r="R159" s="11">
        <f>IF($A159="","",MIN(15,$J159*8))</f>
        <v/>
      </c>
      <c r="S159" s="11">
        <f>IF($A159="","",IF(AND($B159&lt;&gt;"",$K159&lt;90,SUM($L159:$N159)&gt;0),ROUND(0.25*SUM($L159:$N159),0),0))</f>
        <v/>
      </c>
      <c r="T159" s="11">
        <f>IF($A159="","",MIN(100,SUM($L159:$S159)))</f>
        <v/>
      </c>
      <c r="U159" s="12">
        <f>IF($A159="","",IF($T159&lt;25,"Safe",IF($T159&lt;50,"Watch","At-risk")))</f>
        <v/>
      </c>
      <c r="V159" s="12">
        <f>IF($A159="","",IF($T159=0,"—",INDEX($L$1:$S$1,1,MATCH(MAX($L159:$S159),$L159:$S159,0))))</f>
        <v/>
      </c>
    </row>
    <row r="160">
      <c r="A160" s="13" t="n"/>
      <c r="B160" s="9" t="n"/>
      <c r="C160" s="9" t="n"/>
      <c r="D160" s="10" t="n"/>
      <c r="E160" s="10" t="n"/>
      <c r="F160" s="10" t="n"/>
      <c r="G160" s="10" t="n"/>
      <c r="H160" s="13" t="n"/>
      <c r="I160" s="10" t="n"/>
      <c r="J160" s="10" t="n"/>
      <c r="K160" s="11">
        <f>IF($A160="","",IF($B160="","",MAX(0,'Settings'!$B$3-$B160)))</f>
        <v/>
      </c>
      <c r="L160" s="11">
        <f>IF($A160="","",IF(OR($H160="Paused",AND($B160&lt;&gt;"",'Settings'!$B$3-$B160&lt;=14)),0,IF($E160/12&gt;=0.75,IF(1-($D160/4)/($E160/12)&gt;=0.3,ROUND(30*(1-($D160/4)/($E160/12)),0),0),0)))</f>
        <v/>
      </c>
      <c r="M160" s="11">
        <f>IF($A160="","",IF(OR($H160="Paused",AND($B160&lt;&gt;"",'Settings'!$B$3-$B160&lt;=14)),0,IF($C160="",12,IF(MAX(0,'Settings'!$B$3-$C160)&lt;=7,0,IF(MAX(0,'Settings'!$B$3-$C160)&lt;=14,6,IF(MAX(0,'Settings'!$B$3-$C160)&lt;=21,12,IF(MAX(0,'Settings'!$B$3-$C160)&lt;=35,18,20)))))))</f>
        <v/>
      </c>
      <c r="N160" s="11">
        <f>IF($A160="","",IF(AND($H160&lt;&gt;"Paused",OR($B160="",'Settings'!$B$3-$B160&gt;14),$L160=0,IF($F160&gt;=2,1-$D160/$F160&gt;=0.5,FALSE)),10,0))</f>
        <v/>
      </c>
      <c r="O160" s="11">
        <f>IF($A160="","",MIN(16,$G160*8))</f>
        <v/>
      </c>
      <c r="P160" s="11">
        <f>IF($A160="","",IF($H160="Paused",14,IF($I160&gt;0,6,0)))</f>
        <v/>
      </c>
      <c r="Q160" s="11">
        <f>IF($A160="","",IF($H160="Ended",30,0))</f>
        <v/>
      </c>
      <c r="R160" s="11">
        <f>IF($A160="","",MIN(15,$J160*8))</f>
        <v/>
      </c>
      <c r="S160" s="11">
        <f>IF($A160="","",IF(AND($B160&lt;&gt;"",$K160&lt;90,SUM($L160:$N160)&gt;0),ROUND(0.25*SUM($L160:$N160),0),0))</f>
        <v/>
      </c>
      <c r="T160" s="11">
        <f>IF($A160="","",MIN(100,SUM($L160:$S160)))</f>
        <v/>
      </c>
      <c r="U160" s="12">
        <f>IF($A160="","",IF($T160&lt;25,"Safe",IF($T160&lt;50,"Watch","At-risk")))</f>
        <v/>
      </c>
      <c r="V160" s="12">
        <f>IF($A160="","",IF($T160=0,"—",INDEX($L$1:$S$1,1,MATCH(MAX($L160:$S160),$L160:$S160,0))))</f>
        <v/>
      </c>
    </row>
    <row r="161">
      <c r="A161" s="13" t="n"/>
      <c r="B161" s="9" t="n"/>
      <c r="C161" s="9" t="n"/>
      <c r="D161" s="10" t="n"/>
      <c r="E161" s="10" t="n"/>
      <c r="F161" s="10" t="n"/>
      <c r="G161" s="10" t="n"/>
      <c r="H161" s="13" t="n"/>
      <c r="I161" s="10" t="n"/>
      <c r="J161" s="10" t="n"/>
      <c r="K161" s="11">
        <f>IF($A161="","",IF($B161="","",MAX(0,'Settings'!$B$3-$B161)))</f>
        <v/>
      </c>
      <c r="L161" s="11">
        <f>IF($A161="","",IF(OR($H161="Paused",AND($B161&lt;&gt;"",'Settings'!$B$3-$B161&lt;=14)),0,IF($E161/12&gt;=0.75,IF(1-($D161/4)/($E161/12)&gt;=0.3,ROUND(30*(1-($D161/4)/($E161/12)),0),0),0)))</f>
        <v/>
      </c>
      <c r="M161" s="11">
        <f>IF($A161="","",IF(OR($H161="Paused",AND($B161&lt;&gt;"",'Settings'!$B$3-$B161&lt;=14)),0,IF($C161="",12,IF(MAX(0,'Settings'!$B$3-$C161)&lt;=7,0,IF(MAX(0,'Settings'!$B$3-$C161)&lt;=14,6,IF(MAX(0,'Settings'!$B$3-$C161)&lt;=21,12,IF(MAX(0,'Settings'!$B$3-$C161)&lt;=35,18,20)))))))</f>
        <v/>
      </c>
      <c r="N161" s="11">
        <f>IF($A161="","",IF(AND($H161&lt;&gt;"Paused",OR($B161="",'Settings'!$B$3-$B161&gt;14),$L161=0,IF($F161&gt;=2,1-$D161/$F161&gt;=0.5,FALSE)),10,0))</f>
        <v/>
      </c>
      <c r="O161" s="11">
        <f>IF($A161="","",MIN(16,$G161*8))</f>
        <v/>
      </c>
      <c r="P161" s="11">
        <f>IF($A161="","",IF($H161="Paused",14,IF($I161&gt;0,6,0)))</f>
        <v/>
      </c>
      <c r="Q161" s="11">
        <f>IF($A161="","",IF($H161="Ended",30,0))</f>
        <v/>
      </c>
      <c r="R161" s="11">
        <f>IF($A161="","",MIN(15,$J161*8))</f>
        <v/>
      </c>
      <c r="S161" s="11">
        <f>IF($A161="","",IF(AND($B161&lt;&gt;"",$K161&lt;90,SUM($L161:$N161)&gt;0),ROUND(0.25*SUM($L161:$N161),0),0))</f>
        <v/>
      </c>
      <c r="T161" s="11">
        <f>IF($A161="","",MIN(100,SUM($L161:$S161)))</f>
        <v/>
      </c>
      <c r="U161" s="12">
        <f>IF($A161="","",IF($T161&lt;25,"Safe",IF($T161&lt;50,"Watch","At-risk")))</f>
        <v/>
      </c>
      <c r="V161" s="12">
        <f>IF($A161="","",IF($T161=0,"—",INDEX($L$1:$S$1,1,MATCH(MAX($L161:$S161),$L161:$S161,0))))</f>
        <v/>
      </c>
    </row>
    <row r="162">
      <c r="A162" s="13" t="n"/>
      <c r="B162" s="9" t="n"/>
      <c r="C162" s="9" t="n"/>
      <c r="D162" s="10" t="n"/>
      <c r="E162" s="10" t="n"/>
      <c r="F162" s="10" t="n"/>
      <c r="G162" s="10" t="n"/>
      <c r="H162" s="13" t="n"/>
      <c r="I162" s="10" t="n"/>
      <c r="J162" s="10" t="n"/>
      <c r="K162" s="11">
        <f>IF($A162="","",IF($B162="","",MAX(0,'Settings'!$B$3-$B162)))</f>
        <v/>
      </c>
      <c r="L162" s="11">
        <f>IF($A162="","",IF(OR($H162="Paused",AND($B162&lt;&gt;"",'Settings'!$B$3-$B162&lt;=14)),0,IF($E162/12&gt;=0.75,IF(1-($D162/4)/($E162/12)&gt;=0.3,ROUND(30*(1-($D162/4)/($E162/12)),0),0),0)))</f>
        <v/>
      </c>
      <c r="M162" s="11">
        <f>IF($A162="","",IF(OR($H162="Paused",AND($B162&lt;&gt;"",'Settings'!$B$3-$B162&lt;=14)),0,IF($C162="",12,IF(MAX(0,'Settings'!$B$3-$C162)&lt;=7,0,IF(MAX(0,'Settings'!$B$3-$C162)&lt;=14,6,IF(MAX(0,'Settings'!$B$3-$C162)&lt;=21,12,IF(MAX(0,'Settings'!$B$3-$C162)&lt;=35,18,20)))))))</f>
        <v/>
      </c>
      <c r="N162" s="11">
        <f>IF($A162="","",IF(AND($H162&lt;&gt;"Paused",OR($B162="",'Settings'!$B$3-$B162&gt;14),$L162=0,IF($F162&gt;=2,1-$D162/$F162&gt;=0.5,FALSE)),10,0))</f>
        <v/>
      </c>
      <c r="O162" s="11">
        <f>IF($A162="","",MIN(16,$G162*8))</f>
        <v/>
      </c>
      <c r="P162" s="11">
        <f>IF($A162="","",IF($H162="Paused",14,IF($I162&gt;0,6,0)))</f>
        <v/>
      </c>
      <c r="Q162" s="11">
        <f>IF($A162="","",IF($H162="Ended",30,0))</f>
        <v/>
      </c>
      <c r="R162" s="11">
        <f>IF($A162="","",MIN(15,$J162*8))</f>
        <v/>
      </c>
      <c r="S162" s="11">
        <f>IF($A162="","",IF(AND($B162&lt;&gt;"",$K162&lt;90,SUM($L162:$N162)&gt;0),ROUND(0.25*SUM($L162:$N162),0),0))</f>
        <v/>
      </c>
      <c r="T162" s="11">
        <f>IF($A162="","",MIN(100,SUM($L162:$S162)))</f>
        <v/>
      </c>
      <c r="U162" s="12">
        <f>IF($A162="","",IF($T162&lt;25,"Safe",IF($T162&lt;50,"Watch","At-risk")))</f>
        <v/>
      </c>
      <c r="V162" s="12">
        <f>IF($A162="","",IF($T162=0,"—",INDEX($L$1:$S$1,1,MATCH(MAX($L162:$S162),$L162:$S162,0))))</f>
        <v/>
      </c>
    </row>
    <row r="163">
      <c r="A163" s="13" t="n"/>
      <c r="B163" s="9" t="n"/>
      <c r="C163" s="9" t="n"/>
      <c r="D163" s="10" t="n"/>
      <c r="E163" s="10" t="n"/>
      <c r="F163" s="10" t="n"/>
      <c r="G163" s="10" t="n"/>
      <c r="H163" s="13" t="n"/>
      <c r="I163" s="10" t="n"/>
      <c r="J163" s="10" t="n"/>
      <c r="K163" s="11">
        <f>IF($A163="","",IF($B163="","",MAX(0,'Settings'!$B$3-$B163)))</f>
        <v/>
      </c>
      <c r="L163" s="11">
        <f>IF($A163="","",IF(OR($H163="Paused",AND($B163&lt;&gt;"",'Settings'!$B$3-$B163&lt;=14)),0,IF($E163/12&gt;=0.75,IF(1-($D163/4)/($E163/12)&gt;=0.3,ROUND(30*(1-($D163/4)/($E163/12)),0),0),0)))</f>
        <v/>
      </c>
      <c r="M163" s="11">
        <f>IF($A163="","",IF(OR($H163="Paused",AND($B163&lt;&gt;"",'Settings'!$B$3-$B163&lt;=14)),0,IF($C163="",12,IF(MAX(0,'Settings'!$B$3-$C163)&lt;=7,0,IF(MAX(0,'Settings'!$B$3-$C163)&lt;=14,6,IF(MAX(0,'Settings'!$B$3-$C163)&lt;=21,12,IF(MAX(0,'Settings'!$B$3-$C163)&lt;=35,18,20)))))))</f>
        <v/>
      </c>
      <c r="N163" s="11">
        <f>IF($A163="","",IF(AND($H163&lt;&gt;"Paused",OR($B163="",'Settings'!$B$3-$B163&gt;14),$L163=0,IF($F163&gt;=2,1-$D163/$F163&gt;=0.5,FALSE)),10,0))</f>
        <v/>
      </c>
      <c r="O163" s="11">
        <f>IF($A163="","",MIN(16,$G163*8))</f>
        <v/>
      </c>
      <c r="P163" s="11">
        <f>IF($A163="","",IF($H163="Paused",14,IF($I163&gt;0,6,0)))</f>
        <v/>
      </c>
      <c r="Q163" s="11">
        <f>IF($A163="","",IF($H163="Ended",30,0))</f>
        <v/>
      </c>
      <c r="R163" s="11">
        <f>IF($A163="","",MIN(15,$J163*8))</f>
        <v/>
      </c>
      <c r="S163" s="11">
        <f>IF($A163="","",IF(AND($B163&lt;&gt;"",$K163&lt;90,SUM($L163:$N163)&gt;0),ROUND(0.25*SUM($L163:$N163),0),0))</f>
        <v/>
      </c>
      <c r="T163" s="11">
        <f>IF($A163="","",MIN(100,SUM($L163:$S163)))</f>
        <v/>
      </c>
      <c r="U163" s="12">
        <f>IF($A163="","",IF($T163&lt;25,"Safe",IF($T163&lt;50,"Watch","At-risk")))</f>
        <v/>
      </c>
      <c r="V163" s="12">
        <f>IF($A163="","",IF($T163=0,"—",INDEX($L$1:$S$1,1,MATCH(MAX($L163:$S163),$L163:$S163,0))))</f>
        <v/>
      </c>
    </row>
    <row r="164">
      <c r="A164" s="13" t="n"/>
      <c r="B164" s="9" t="n"/>
      <c r="C164" s="9" t="n"/>
      <c r="D164" s="10" t="n"/>
      <c r="E164" s="10" t="n"/>
      <c r="F164" s="10" t="n"/>
      <c r="G164" s="10" t="n"/>
      <c r="H164" s="13" t="n"/>
      <c r="I164" s="10" t="n"/>
      <c r="J164" s="10" t="n"/>
      <c r="K164" s="11">
        <f>IF($A164="","",IF($B164="","",MAX(0,'Settings'!$B$3-$B164)))</f>
        <v/>
      </c>
      <c r="L164" s="11">
        <f>IF($A164="","",IF(OR($H164="Paused",AND($B164&lt;&gt;"",'Settings'!$B$3-$B164&lt;=14)),0,IF($E164/12&gt;=0.75,IF(1-($D164/4)/($E164/12)&gt;=0.3,ROUND(30*(1-($D164/4)/($E164/12)),0),0),0)))</f>
        <v/>
      </c>
      <c r="M164" s="11">
        <f>IF($A164="","",IF(OR($H164="Paused",AND($B164&lt;&gt;"",'Settings'!$B$3-$B164&lt;=14)),0,IF($C164="",12,IF(MAX(0,'Settings'!$B$3-$C164)&lt;=7,0,IF(MAX(0,'Settings'!$B$3-$C164)&lt;=14,6,IF(MAX(0,'Settings'!$B$3-$C164)&lt;=21,12,IF(MAX(0,'Settings'!$B$3-$C164)&lt;=35,18,20)))))))</f>
        <v/>
      </c>
      <c r="N164" s="11">
        <f>IF($A164="","",IF(AND($H164&lt;&gt;"Paused",OR($B164="",'Settings'!$B$3-$B164&gt;14),$L164=0,IF($F164&gt;=2,1-$D164/$F164&gt;=0.5,FALSE)),10,0))</f>
        <v/>
      </c>
      <c r="O164" s="11">
        <f>IF($A164="","",MIN(16,$G164*8))</f>
        <v/>
      </c>
      <c r="P164" s="11">
        <f>IF($A164="","",IF($H164="Paused",14,IF($I164&gt;0,6,0)))</f>
        <v/>
      </c>
      <c r="Q164" s="11">
        <f>IF($A164="","",IF($H164="Ended",30,0))</f>
        <v/>
      </c>
      <c r="R164" s="11">
        <f>IF($A164="","",MIN(15,$J164*8))</f>
        <v/>
      </c>
      <c r="S164" s="11">
        <f>IF($A164="","",IF(AND($B164&lt;&gt;"",$K164&lt;90,SUM($L164:$N164)&gt;0),ROUND(0.25*SUM($L164:$N164),0),0))</f>
        <v/>
      </c>
      <c r="T164" s="11">
        <f>IF($A164="","",MIN(100,SUM($L164:$S164)))</f>
        <v/>
      </c>
      <c r="U164" s="12">
        <f>IF($A164="","",IF($T164&lt;25,"Safe",IF($T164&lt;50,"Watch","At-risk")))</f>
        <v/>
      </c>
      <c r="V164" s="12">
        <f>IF($A164="","",IF($T164=0,"—",INDEX($L$1:$S$1,1,MATCH(MAX($L164:$S164),$L164:$S164,0))))</f>
        <v/>
      </c>
    </row>
    <row r="165">
      <c r="A165" s="13" t="n"/>
      <c r="B165" s="9" t="n"/>
      <c r="C165" s="9" t="n"/>
      <c r="D165" s="10" t="n"/>
      <c r="E165" s="10" t="n"/>
      <c r="F165" s="10" t="n"/>
      <c r="G165" s="10" t="n"/>
      <c r="H165" s="13" t="n"/>
      <c r="I165" s="10" t="n"/>
      <c r="J165" s="10" t="n"/>
      <c r="K165" s="11">
        <f>IF($A165="","",IF($B165="","",MAX(0,'Settings'!$B$3-$B165)))</f>
        <v/>
      </c>
      <c r="L165" s="11">
        <f>IF($A165="","",IF(OR($H165="Paused",AND($B165&lt;&gt;"",'Settings'!$B$3-$B165&lt;=14)),0,IF($E165/12&gt;=0.75,IF(1-($D165/4)/($E165/12)&gt;=0.3,ROUND(30*(1-($D165/4)/($E165/12)),0),0),0)))</f>
        <v/>
      </c>
      <c r="M165" s="11">
        <f>IF($A165="","",IF(OR($H165="Paused",AND($B165&lt;&gt;"",'Settings'!$B$3-$B165&lt;=14)),0,IF($C165="",12,IF(MAX(0,'Settings'!$B$3-$C165)&lt;=7,0,IF(MAX(0,'Settings'!$B$3-$C165)&lt;=14,6,IF(MAX(0,'Settings'!$B$3-$C165)&lt;=21,12,IF(MAX(0,'Settings'!$B$3-$C165)&lt;=35,18,20)))))))</f>
        <v/>
      </c>
      <c r="N165" s="11">
        <f>IF($A165="","",IF(AND($H165&lt;&gt;"Paused",OR($B165="",'Settings'!$B$3-$B165&gt;14),$L165=0,IF($F165&gt;=2,1-$D165/$F165&gt;=0.5,FALSE)),10,0))</f>
        <v/>
      </c>
      <c r="O165" s="11">
        <f>IF($A165="","",MIN(16,$G165*8))</f>
        <v/>
      </c>
      <c r="P165" s="11">
        <f>IF($A165="","",IF($H165="Paused",14,IF($I165&gt;0,6,0)))</f>
        <v/>
      </c>
      <c r="Q165" s="11">
        <f>IF($A165="","",IF($H165="Ended",30,0))</f>
        <v/>
      </c>
      <c r="R165" s="11">
        <f>IF($A165="","",MIN(15,$J165*8))</f>
        <v/>
      </c>
      <c r="S165" s="11">
        <f>IF($A165="","",IF(AND($B165&lt;&gt;"",$K165&lt;90,SUM($L165:$N165)&gt;0),ROUND(0.25*SUM($L165:$N165),0),0))</f>
        <v/>
      </c>
      <c r="T165" s="11">
        <f>IF($A165="","",MIN(100,SUM($L165:$S165)))</f>
        <v/>
      </c>
      <c r="U165" s="12">
        <f>IF($A165="","",IF($T165&lt;25,"Safe",IF($T165&lt;50,"Watch","At-risk")))</f>
        <v/>
      </c>
      <c r="V165" s="12">
        <f>IF($A165="","",IF($T165=0,"—",INDEX($L$1:$S$1,1,MATCH(MAX($L165:$S165),$L165:$S165,0))))</f>
        <v/>
      </c>
    </row>
    <row r="166">
      <c r="A166" s="13" t="n"/>
      <c r="B166" s="9" t="n"/>
      <c r="C166" s="9" t="n"/>
      <c r="D166" s="10" t="n"/>
      <c r="E166" s="10" t="n"/>
      <c r="F166" s="10" t="n"/>
      <c r="G166" s="10" t="n"/>
      <c r="H166" s="13" t="n"/>
      <c r="I166" s="10" t="n"/>
      <c r="J166" s="10" t="n"/>
      <c r="K166" s="11">
        <f>IF($A166="","",IF($B166="","",MAX(0,'Settings'!$B$3-$B166)))</f>
        <v/>
      </c>
      <c r="L166" s="11">
        <f>IF($A166="","",IF(OR($H166="Paused",AND($B166&lt;&gt;"",'Settings'!$B$3-$B166&lt;=14)),0,IF($E166/12&gt;=0.75,IF(1-($D166/4)/($E166/12)&gt;=0.3,ROUND(30*(1-($D166/4)/($E166/12)),0),0),0)))</f>
        <v/>
      </c>
      <c r="M166" s="11">
        <f>IF($A166="","",IF(OR($H166="Paused",AND($B166&lt;&gt;"",'Settings'!$B$3-$B166&lt;=14)),0,IF($C166="",12,IF(MAX(0,'Settings'!$B$3-$C166)&lt;=7,0,IF(MAX(0,'Settings'!$B$3-$C166)&lt;=14,6,IF(MAX(0,'Settings'!$B$3-$C166)&lt;=21,12,IF(MAX(0,'Settings'!$B$3-$C166)&lt;=35,18,20)))))))</f>
        <v/>
      </c>
      <c r="N166" s="11">
        <f>IF($A166="","",IF(AND($H166&lt;&gt;"Paused",OR($B166="",'Settings'!$B$3-$B166&gt;14),$L166=0,IF($F166&gt;=2,1-$D166/$F166&gt;=0.5,FALSE)),10,0))</f>
        <v/>
      </c>
      <c r="O166" s="11">
        <f>IF($A166="","",MIN(16,$G166*8))</f>
        <v/>
      </c>
      <c r="P166" s="11">
        <f>IF($A166="","",IF($H166="Paused",14,IF($I166&gt;0,6,0)))</f>
        <v/>
      </c>
      <c r="Q166" s="11">
        <f>IF($A166="","",IF($H166="Ended",30,0))</f>
        <v/>
      </c>
      <c r="R166" s="11">
        <f>IF($A166="","",MIN(15,$J166*8))</f>
        <v/>
      </c>
      <c r="S166" s="11">
        <f>IF($A166="","",IF(AND($B166&lt;&gt;"",$K166&lt;90,SUM($L166:$N166)&gt;0),ROUND(0.25*SUM($L166:$N166),0),0))</f>
        <v/>
      </c>
      <c r="T166" s="11">
        <f>IF($A166="","",MIN(100,SUM($L166:$S166)))</f>
        <v/>
      </c>
      <c r="U166" s="12">
        <f>IF($A166="","",IF($T166&lt;25,"Safe",IF($T166&lt;50,"Watch","At-risk")))</f>
        <v/>
      </c>
      <c r="V166" s="12">
        <f>IF($A166="","",IF($T166=0,"—",INDEX($L$1:$S$1,1,MATCH(MAX($L166:$S166),$L166:$S166,0))))</f>
        <v/>
      </c>
    </row>
    <row r="167">
      <c r="A167" s="13" t="n"/>
      <c r="B167" s="9" t="n"/>
      <c r="C167" s="9" t="n"/>
      <c r="D167" s="10" t="n"/>
      <c r="E167" s="10" t="n"/>
      <c r="F167" s="10" t="n"/>
      <c r="G167" s="10" t="n"/>
      <c r="H167" s="13" t="n"/>
      <c r="I167" s="10" t="n"/>
      <c r="J167" s="10" t="n"/>
      <c r="K167" s="11">
        <f>IF($A167="","",IF($B167="","",MAX(0,'Settings'!$B$3-$B167)))</f>
        <v/>
      </c>
      <c r="L167" s="11">
        <f>IF($A167="","",IF(OR($H167="Paused",AND($B167&lt;&gt;"",'Settings'!$B$3-$B167&lt;=14)),0,IF($E167/12&gt;=0.75,IF(1-($D167/4)/($E167/12)&gt;=0.3,ROUND(30*(1-($D167/4)/($E167/12)),0),0),0)))</f>
        <v/>
      </c>
      <c r="M167" s="11">
        <f>IF($A167="","",IF(OR($H167="Paused",AND($B167&lt;&gt;"",'Settings'!$B$3-$B167&lt;=14)),0,IF($C167="",12,IF(MAX(0,'Settings'!$B$3-$C167)&lt;=7,0,IF(MAX(0,'Settings'!$B$3-$C167)&lt;=14,6,IF(MAX(0,'Settings'!$B$3-$C167)&lt;=21,12,IF(MAX(0,'Settings'!$B$3-$C167)&lt;=35,18,20)))))))</f>
        <v/>
      </c>
      <c r="N167" s="11">
        <f>IF($A167="","",IF(AND($H167&lt;&gt;"Paused",OR($B167="",'Settings'!$B$3-$B167&gt;14),$L167=0,IF($F167&gt;=2,1-$D167/$F167&gt;=0.5,FALSE)),10,0))</f>
        <v/>
      </c>
      <c r="O167" s="11">
        <f>IF($A167="","",MIN(16,$G167*8))</f>
        <v/>
      </c>
      <c r="P167" s="11">
        <f>IF($A167="","",IF($H167="Paused",14,IF($I167&gt;0,6,0)))</f>
        <v/>
      </c>
      <c r="Q167" s="11">
        <f>IF($A167="","",IF($H167="Ended",30,0))</f>
        <v/>
      </c>
      <c r="R167" s="11">
        <f>IF($A167="","",MIN(15,$J167*8))</f>
        <v/>
      </c>
      <c r="S167" s="11">
        <f>IF($A167="","",IF(AND($B167&lt;&gt;"",$K167&lt;90,SUM($L167:$N167)&gt;0),ROUND(0.25*SUM($L167:$N167),0),0))</f>
        <v/>
      </c>
      <c r="T167" s="11">
        <f>IF($A167="","",MIN(100,SUM($L167:$S167)))</f>
        <v/>
      </c>
      <c r="U167" s="12">
        <f>IF($A167="","",IF($T167&lt;25,"Safe",IF($T167&lt;50,"Watch","At-risk")))</f>
        <v/>
      </c>
      <c r="V167" s="12">
        <f>IF($A167="","",IF($T167=0,"—",INDEX($L$1:$S$1,1,MATCH(MAX($L167:$S167),$L167:$S167,0))))</f>
        <v/>
      </c>
    </row>
    <row r="168">
      <c r="A168" s="13" t="n"/>
      <c r="B168" s="9" t="n"/>
      <c r="C168" s="9" t="n"/>
      <c r="D168" s="10" t="n"/>
      <c r="E168" s="10" t="n"/>
      <c r="F168" s="10" t="n"/>
      <c r="G168" s="10" t="n"/>
      <c r="H168" s="13" t="n"/>
      <c r="I168" s="10" t="n"/>
      <c r="J168" s="10" t="n"/>
      <c r="K168" s="11">
        <f>IF($A168="","",IF($B168="","",MAX(0,'Settings'!$B$3-$B168)))</f>
        <v/>
      </c>
      <c r="L168" s="11">
        <f>IF($A168="","",IF(OR($H168="Paused",AND($B168&lt;&gt;"",'Settings'!$B$3-$B168&lt;=14)),0,IF($E168/12&gt;=0.75,IF(1-($D168/4)/($E168/12)&gt;=0.3,ROUND(30*(1-($D168/4)/($E168/12)),0),0),0)))</f>
        <v/>
      </c>
      <c r="M168" s="11">
        <f>IF($A168="","",IF(OR($H168="Paused",AND($B168&lt;&gt;"",'Settings'!$B$3-$B168&lt;=14)),0,IF($C168="",12,IF(MAX(0,'Settings'!$B$3-$C168)&lt;=7,0,IF(MAX(0,'Settings'!$B$3-$C168)&lt;=14,6,IF(MAX(0,'Settings'!$B$3-$C168)&lt;=21,12,IF(MAX(0,'Settings'!$B$3-$C168)&lt;=35,18,20)))))))</f>
        <v/>
      </c>
      <c r="N168" s="11">
        <f>IF($A168="","",IF(AND($H168&lt;&gt;"Paused",OR($B168="",'Settings'!$B$3-$B168&gt;14),$L168=0,IF($F168&gt;=2,1-$D168/$F168&gt;=0.5,FALSE)),10,0))</f>
        <v/>
      </c>
      <c r="O168" s="11">
        <f>IF($A168="","",MIN(16,$G168*8))</f>
        <v/>
      </c>
      <c r="P168" s="11">
        <f>IF($A168="","",IF($H168="Paused",14,IF($I168&gt;0,6,0)))</f>
        <v/>
      </c>
      <c r="Q168" s="11">
        <f>IF($A168="","",IF($H168="Ended",30,0))</f>
        <v/>
      </c>
      <c r="R168" s="11">
        <f>IF($A168="","",MIN(15,$J168*8))</f>
        <v/>
      </c>
      <c r="S168" s="11">
        <f>IF($A168="","",IF(AND($B168&lt;&gt;"",$K168&lt;90,SUM($L168:$N168)&gt;0),ROUND(0.25*SUM($L168:$N168),0),0))</f>
        <v/>
      </c>
      <c r="T168" s="11">
        <f>IF($A168="","",MIN(100,SUM($L168:$S168)))</f>
        <v/>
      </c>
      <c r="U168" s="12">
        <f>IF($A168="","",IF($T168&lt;25,"Safe",IF($T168&lt;50,"Watch","At-risk")))</f>
        <v/>
      </c>
      <c r="V168" s="12">
        <f>IF($A168="","",IF($T168=0,"—",INDEX($L$1:$S$1,1,MATCH(MAX($L168:$S168),$L168:$S168,0))))</f>
        <v/>
      </c>
    </row>
    <row r="169">
      <c r="A169" s="13" t="n"/>
      <c r="B169" s="9" t="n"/>
      <c r="C169" s="9" t="n"/>
      <c r="D169" s="10" t="n"/>
      <c r="E169" s="10" t="n"/>
      <c r="F169" s="10" t="n"/>
      <c r="G169" s="10" t="n"/>
      <c r="H169" s="13" t="n"/>
      <c r="I169" s="10" t="n"/>
      <c r="J169" s="10" t="n"/>
      <c r="K169" s="11">
        <f>IF($A169="","",IF($B169="","",MAX(0,'Settings'!$B$3-$B169)))</f>
        <v/>
      </c>
      <c r="L169" s="11">
        <f>IF($A169="","",IF(OR($H169="Paused",AND($B169&lt;&gt;"",'Settings'!$B$3-$B169&lt;=14)),0,IF($E169/12&gt;=0.75,IF(1-($D169/4)/($E169/12)&gt;=0.3,ROUND(30*(1-($D169/4)/($E169/12)),0),0),0)))</f>
        <v/>
      </c>
      <c r="M169" s="11">
        <f>IF($A169="","",IF(OR($H169="Paused",AND($B169&lt;&gt;"",'Settings'!$B$3-$B169&lt;=14)),0,IF($C169="",12,IF(MAX(0,'Settings'!$B$3-$C169)&lt;=7,0,IF(MAX(0,'Settings'!$B$3-$C169)&lt;=14,6,IF(MAX(0,'Settings'!$B$3-$C169)&lt;=21,12,IF(MAX(0,'Settings'!$B$3-$C169)&lt;=35,18,20)))))))</f>
        <v/>
      </c>
      <c r="N169" s="11">
        <f>IF($A169="","",IF(AND($H169&lt;&gt;"Paused",OR($B169="",'Settings'!$B$3-$B169&gt;14),$L169=0,IF($F169&gt;=2,1-$D169/$F169&gt;=0.5,FALSE)),10,0))</f>
        <v/>
      </c>
      <c r="O169" s="11">
        <f>IF($A169="","",MIN(16,$G169*8))</f>
        <v/>
      </c>
      <c r="P169" s="11">
        <f>IF($A169="","",IF($H169="Paused",14,IF($I169&gt;0,6,0)))</f>
        <v/>
      </c>
      <c r="Q169" s="11">
        <f>IF($A169="","",IF($H169="Ended",30,0))</f>
        <v/>
      </c>
      <c r="R169" s="11">
        <f>IF($A169="","",MIN(15,$J169*8))</f>
        <v/>
      </c>
      <c r="S169" s="11">
        <f>IF($A169="","",IF(AND($B169&lt;&gt;"",$K169&lt;90,SUM($L169:$N169)&gt;0),ROUND(0.25*SUM($L169:$N169),0),0))</f>
        <v/>
      </c>
      <c r="T169" s="11">
        <f>IF($A169="","",MIN(100,SUM($L169:$S169)))</f>
        <v/>
      </c>
      <c r="U169" s="12">
        <f>IF($A169="","",IF($T169&lt;25,"Safe",IF($T169&lt;50,"Watch","At-risk")))</f>
        <v/>
      </c>
      <c r="V169" s="12">
        <f>IF($A169="","",IF($T169=0,"—",INDEX($L$1:$S$1,1,MATCH(MAX($L169:$S169),$L169:$S169,0))))</f>
        <v/>
      </c>
    </row>
    <row r="170">
      <c r="A170" s="13" t="n"/>
      <c r="B170" s="9" t="n"/>
      <c r="C170" s="9" t="n"/>
      <c r="D170" s="10" t="n"/>
      <c r="E170" s="10" t="n"/>
      <c r="F170" s="10" t="n"/>
      <c r="G170" s="10" t="n"/>
      <c r="H170" s="13" t="n"/>
      <c r="I170" s="10" t="n"/>
      <c r="J170" s="10" t="n"/>
      <c r="K170" s="11">
        <f>IF($A170="","",IF($B170="","",MAX(0,'Settings'!$B$3-$B170)))</f>
        <v/>
      </c>
      <c r="L170" s="11">
        <f>IF($A170="","",IF(OR($H170="Paused",AND($B170&lt;&gt;"",'Settings'!$B$3-$B170&lt;=14)),0,IF($E170/12&gt;=0.75,IF(1-($D170/4)/($E170/12)&gt;=0.3,ROUND(30*(1-($D170/4)/($E170/12)),0),0),0)))</f>
        <v/>
      </c>
      <c r="M170" s="11">
        <f>IF($A170="","",IF(OR($H170="Paused",AND($B170&lt;&gt;"",'Settings'!$B$3-$B170&lt;=14)),0,IF($C170="",12,IF(MAX(0,'Settings'!$B$3-$C170)&lt;=7,0,IF(MAX(0,'Settings'!$B$3-$C170)&lt;=14,6,IF(MAX(0,'Settings'!$B$3-$C170)&lt;=21,12,IF(MAX(0,'Settings'!$B$3-$C170)&lt;=35,18,20)))))))</f>
        <v/>
      </c>
      <c r="N170" s="11">
        <f>IF($A170="","",IF(AND($H170&lt;&gt;"Paused",OR($B170="",'Settings'!$B$3-$B170&gt;14),$L170=0,IF($F170&gt;=2,1-$D170/$F170&gt;=0.5,FALSE)),10,0))</f>
        <v/>
      </c>
      <c r="O170" s="11">
        <f>IF($A170="","",MIN(16,$G170*8))</f>
        <v/>
      </c>
      <c r="P170" s="11">
        <f>IF($A170="","",IF($H170="Paused",14,IF($I170&gt;0,6,0)))</f>
        <v/>
      </c>
      <c r="Q170" s="11">
        <f>IF($A170="","",IF($H170="Ended",30,0))</f>
        <v/>
      </c>
      <c r="R170" s="11">
        <f>IF($A170="","",MIN(15,$J170*8))</f>
        <v/>
      </c>
      <c r="S170" s="11">
        <f>IF($A170="","",IF(AND($B170&lt;&gt;"",$K170&lt;90,SUM($L170:$N170)&gt;0),ROUND(0.25*SUM($L170:$N170),0),0))</f>
        <v/>
      </c>
      <c r="T170" s="11">
        <f>IF($A170="","",MIN(100,SUM($L170:$S170)))</f>
        <v/>
      </c>
      <c r="U170" s="12">
        <f>IF($A170="","",IF($T170&lt;25,"Safe",IF($T170&lt;50,"Watch","At-risk")))</f>
        <v/>
      </c>
      <c r="V170" s="12">
        <f>IF($A170="","",IF($T170=0,"—",INDEX($L$1:$S$1,1,MATCH(MAX($L170:$S170),$L170:$S170,0))))</f>
        <v/>
      </c>
    </row>
    <row r="171">
      <c r="A171" s="13" t="n"/>
      <c r="B171" s="9" t="n"/>
      <c r="C171" s="9" t="n"/>
      <c r="D171" s="10" t="n"/>
      <c r="E171" s="10" t="n"/>
      <c r="F171" s="10" t="n"/>
      <c r="G171" s="10" t="n"/>
      <c r="H171" s="13" t="n"/>
      <c r="I171" s="10" t="n"/>
      <c r="J171" s="10" t="n"/>
      <c r="K171" s="11">
        <f>IF($A171="","",IF($B171="","",MAX(0,'Settings'!$B$3-$B171)))</f>
        <v/>
      </c>
      <c r="L171" s="11">
        <f>IF($A171="","",IF(OR($H171="Paused",AND($B171&lt;&gt;"",'Settings'!$B$3-$B171&lt;=14)),0,IF($E171/12&gt;=0.75,IF(1-($D171/4)/($E171/12)&gt;=0.3,ROUND(30*(1-($D171/4)/($E171/12)),0),0),0)))</f>
        <v/>
      </c>
      <c r="M171" s="11">
        <f>IF($A171="","",IF(OR($H171="Paused",AND($B171&lt;&gt;"",'Settings'!$B$3-$B171&lt;=14)),0,IF($C171="",12,IF(MAX(0,'Settings'!$B$3-$C171)&lt;=7,0,IF(MAX(0,'Settings'!$B$3-$C171)&lt;=14,6,IF(MAX(0,'Settings'!$B$3-$C171)&lt;=21,12,IF(MAX(0,'Settings'!$B$3-$C171)&lt;=35,18,20)))))))</f>
        <v/>
      </c>
      <c r="N171" s="11">
        <f>IF($A171="","",IF(AND($H171&lt;&gt;"Paused",OR($B171="",'Settings'!$B$3-$B171&gt;14),$L171=0,IF($F171&gt;=2,1-$D171/$F171&gt;=0.5,FALSE)),10,0))</f>
        <v/>
      </c>
      <c r="O171" s="11">
        <f>IF($A171="","",MIN(16,$G171*8))</f>
        <v/>
      </c>
      <c r="P171" s="11">
        <f>IF($A171="","",IF($H171="Paused",14,IF($I171&gt;0,6,0)))</f>
        <v/>
      </c>
      <c r="Q171" s="11">
        <f>IF($A171="","",IF($H171="Ended",30,0))</f>
        <v/>
      </c>
      <c r="R171" s="11">
        <f>IF($A171="","",MIN(15,$J171*8))</f>
        <v/>
      </c>
      <c r="S171" s="11">
        <f>IF($A171="","",IF(AND($B171&lt;&gt;"",$K171&lt;90,SUM($L171:$N171)&gt;0),ROUND(0.25*SUM($L171:$N171),0),0))</f>
        <v/>
      </c>
      <c r="T171" s="11">
        <f>IF($A171="","",MIN(100,SUM($L171:$S171)))</f>
        <v/>
      </c>
      <c r="U171" s="12">
        <f>IF($A171="","",IF($T171&lt;25,"Safe",IF($T171&lt;50,"Watch","At-risk")))</f>
        <v/>
      </c>
      <c r="V171" s="12">
        <f>IF($A171="","",IF($T171=0,"—",INDEX($L$1:$S$1,1,MATCH(MAX($L171:$S171),$L171:$S171,0))))</f>
        <v/>
      </c>
    </row>
    <row r="172">
      <c r="A172" s="13" t="n"/>
      <c r="B172" s="9" t="n"/>
      <c r="C172" s="9" t="n"/>
      <c r="D172" s="10" t="n"/>
      <c r="E172" s="10" t="n"/>
      <c r="F172" s="10" t="n"/>
      <c r="G172" s="10" t="n"/>
      <c r="H172" s="13" t="n"/>
      <c r="I172" s="10" t="n"/>
      <c r="J172" s="10" t="n"/>
      <c r="K172" s="11">
        <f>IF($A172="","",IF($B172="","",MAX(0,'Settings'!$B$3-$B172)))</f>
        <v/>
      </c>
      <c r="L172" s="11">
        <f>IF($A172="","",IF(OR($H172="Paused",AND($B172&lt;&gt;"",'Settings'!$B$3-$B172&lt;=14)),0,IF($E172/12&gt;=0.75,IF(1-($D172/4)/($E172/12)&gt;=0.3,ROUND(30*(1-($D172/4)/($E172/12)),0),0),0)))</f>
        <v/>
      </c>
      <c r="M172" s="11">
        <f>IF($A172="","",IF(OR($H172="Paused",AND($B172&lt;&gt;"",'Settings'!$B$3-$B172&lt;=14)),0,IF($C172="",12,IF(MAX(0,'Settings'!$B$3-$C172)&lt;=7,0,IF(MAX(0,'Settings'!$B$3-$C172)&lt;=14,6,IF(MAX(0,'Settings'!$B$3-$C172)&lt;=21,12,IF(MAX(0,'Settings'!$B$3-$C172)&lt;=35,18,20)))))))</f>
        <v/>
      </c>
      <c r="N172" s="11">
        <f>IF($A172="","",IF(AND($H172&lt;&gt;"Paused",OR($B172="",'Settings'!$B$3-$B172&gt;14),$L172=0,IF($F172&gt;=2,1-$D172/$F172&gt;=0.5,FALSE)),10,0))</f>
        <v/>
      </c>
      <c r="O172" s="11">
        <f>IF($A172="","",MIN(16,$G172*8))</f>
        <v/>
      </c>
      <c r="P172" s="11">
        <f>IF($A172="","",IF($H172="Paused",14,IF($I172&gt;0,6,0)))</f>
        <v/>
      </c>
      <c r="Q172" s="11">
        <f>IF($A172="","",IF($H172="Ended",30,0))</f>
        <v/>
      </c>
      <c r="R172" s="11">
        <f>IF($A172="","",MIN(15,$J172*8))</f>
        <v/>
      </c>
      <c r="S172" s="11">
        <f>IF($A172="","",IF(AND($B172&lt;&gt;"",$K172&lt;90,SUM($L172:$N172)&gt;0),ROUND(0.25*SUM($L172:$N172),0),0))</f>
        <v/>
      </c>
      <c r="T172" s="11">
        <f>IF($A172="","",MIN(100,SUM($L172:$S172)))</f>
        <v/>
      </c>
      <c r="U172" s="12">
        <f>IF($A172="","",IF($T172&lt;25,"Safe",IF($T172&lt;50,"Watch","At-risk")))</f>
        <v/>
      </c>
      <c r="V172" s="12">
        <f>IF($A172="","",IF($T172=0,"—",INDEX($L$1:$S$1,1,MATCH(MAX($L172:$S172),$L172:$S172,0))))</f>
        <v/>
      </c>
    </row>
    <row r="173">
      <c r="A173" s="13" t="n"/>
      <c r="B173" s="9" t="n"/>
      <c r="C173" s="9" t="n"/>
      <c r="D173" s="10" t="n"/>
      <c r="E173" s="10" t="n"/>
      <c r="F173" s="10" t="n"/>
      <c r="G173" s="10" t="n"/>
      <c r="H173" s="13" t="n"/>
      <c r="I173" s="10" t="n"/>
      <c r="J173" s="10" t="n"/>
      <c r="K173" s="11">
        <f>IF($A173="","",IF($B173="","",MAX(0,'Settings'!$B$3-$B173)))</f>
        <v/>
      </c>
      <c r="L173" s="11">
        <f>IF($A173="","",IF(OR($H173="Paused",AND($B173&lt;&gt;"",'Settings'!$B$3-$B173&lt;=14)),0,IF($E173/12&gt;=0.75,IF(1-($D173/4)/($E173/12)&gt;=0.3,ROUND(30*(1-($D173/4)/($E173/12)),0),0),0)))</f>
        <v/>
      </c>
      <c r="M173" s="11">
        <f>IF($A173="","",IF(OR($H173="Paused",AND($B173&lt;&gt;"",'Settings'!$B$3-$B173&lt;=14)),0,IF($C173="",12,IF(MAX(0,'Settings'!$B$3-$C173)&lt;=7,0,IF(MAX(0,'Settings'!$B$3-$C173)&lt;=14,6,IF(MAX(0,'Settings'!$B$3-$C173)&lt;=21,12,IF(MAX(0,'Settings'!$B$3-$C173)&lt;=35,18,20)))))))</f>
        <v/>
      </c>
      <c r="N173" s="11">
        <f>IF($A173="","",IF(AND($H173&lt;&gt;"Paused",OR($B173="",'Settings'!$B$3-$B173&gt;14),$L173=0,IF($F173&gt;=2,1-$D173/$F173&gt;=0.5,FALSE)),10,0))</f>
        <v/>
      </c>
      <c r="O173" s="11">
        <f>IF($A173="","",MIN(16,$G173*8))</f>
        <v/>
      </c>
      <c r="P173" s="11">
        <f>IF($A173="","",IF($H173="Paused",14,IF($I173&gt;0,6,0)))</f>
        <v/>
      </c>
      <c r="Q173" s="11">
        <f>IF($A173="","",IF($H173="Ended",30,0))</f>
        <v/>
      </c>
      <c r="R173" s="11">
        <f>IF($A173="","",MIN(15,$J173*8))</f>
        <v/>
      </c>
      <c r="S173" s="11">
        <f>IF($A173="","",IF(AND($B173&lt;&gt;"",$K173&lt;90,SUM($L173:$N173)&gt;0),ROUND(0.25*SUM($L173:$N173),0),0))</f>
        <v/>
      </c>
      <c r="T173" s="11">
        <f>IF($A173="","",MIN(100,SUM($L173:$S173)))</f>
        <v/>
      </c>
      <c r="U173" s="12">
        <f>IF($A173="","",IF($T173&lt;25,"Safe",IF($T173&lt;50,"Watch","At-risk")))</f>
        <v/>
      </c>
      <c r="V173" s="12">
        <f>IF($A173="","",IF($T173=0,"—",INDEX($L$1:$S$1,1,MATCH(MAX($L173:$S173),$L173:$S173,0))))</f>
        <v/>
      </c>
    </row>
    <row r="174">
      <c r="A174" s="13" t="n"/>
      <c r="B174" s="9" t="n"/>
      <c r="C174" s="9" t="n"/>
      <c r="D174" s="10" t="n"/>
      <c r="E174" s="10" t="n"/>
      <c r="F174" s="10" t="n"/>
      <c r="G174" s="10" t="n"/>
      <c r="H174" s="13" t="n"/>
      <c r="I174" s="10" t="n"/>
      <c r="J174" s="10" t="n"/>
      <c r="K174" s="11">
        <f>IF($A174="","",IF($B174="","",MAX(0,'Settings'!$B$3-$B174)))</f>
        <v/>
      </c>
      <c r="L174" s="11">
        <f>IF($A174="","",IF(OR($H174="Paused",AND($B174&lt;&gt;"",'Settings'!$B$3-$B174&lt;=14)),0,IF($E174/12&gt;=0.75,IF(1-($D174/4)/($E174/12)&gt;=0.3,ROUND(30*(1-($D174/4)/($E174/12)),0),0),0)))</f>
        <v/>
      </c>
      <c r="M174" s="11">
        <f>IF($A174="","",IF(OR($H174="Paused",AND($B174&lt;&gt;"",'Settings'!$B$3-$B174&lt;=14)),0,IF($C174="",12,IF(MAX(0,'Settings'!$B$3-$C174)&lt;=7,0,IF(MAX(0,'Settings'!$B$3-$C174)&lt;=14,6,IF(MAX(0,'Settings'!$B$3-$C174)&lt;=21,12,IF(MAX(0,'Settings'!$B$3-$C174)&lt;=35,18,20)))))))</f>
        <v/>
      </c>
      <c r="N174" s="11">
        <f>IF($A174="","",IF(AND($H174&lt;&gt;"Paused",OR($B174="",'Settings'!$B$3-$B174&gt;14),$L174=0,IF($F174&gt;=2,1-$D174/$F174&gt;=0.5,FALSE)),10,0))</f>
        <v/>
      </c>
      <c r="O174" s="11">
        <f>IF($A174="","",MIN(16,$G174*8))</f>
        <v/>
      </c>
      <c r="P174" s="11">
        <f>IF($A174="","",IF($H174="Paused",14,IF($I174&gt;0,6,0)))</f>
        <v/>
      </c>
      <c r="Q174" s="11">
        <f>IF($A174="","",IF($H174="Ended",30,0))</f>
        <v/>
      </c>
      <c r="R174" s="11">
        <f>IF($A174="","",MIN(15,$J174*8))</f>
        <v/>
      </c>
      <c r="S174" s="11">
        <f>IF($A174="","",IF(AND($B174&lt;&gt;"",$K174&lt;90,SUM($L174:$N174)&gt;0),ROUND(0.25*SUM($L174:$N174),0),0))</f>
        <v/>
      </c>
      <c r="T174" s="11">
        <f>IF($A174="","",MIN(100,SUM($L174:$S174)))</f>
        <v/>
      </c>
      <c r="U174" s="12">
        <f>IF($A174="","",IF($T174&lt;25,"Safe",IF($T174&lt;50,"Watch","At-risk")))</f>
        <v/>
      </c>
      <c r="V174" s="12">
        <f>IF($A174="","",IF($T174=0,"—",INDEX($L$1:$S$1,1,MATCH(MAX($L174:$S174),$L174:$S174,0))))</f>
        <v/>
      </c>
    </row>
    <row r="175">
      <c r="A175" s="13" t="n"/>
      <c r="B175" s="9" t="n"/>
      <c r="C175" s="9" t="n"/>
      <c r="D175" s="10" t="n"/>
      <c r="E175" s="10" t="n"/>
      <c r="F175" s="10" t="n"/>
      <c r="G175" s="10" t="n"/>
      <c r="H175" s="13" t="n"/>
      <c r="I175" s="10" t="n"/>
      <c r="J175" s="10" t="n"/>
      <c r="K175" s="11">
        <f>IF($A175="","",IF($B175="","",MAX(0,'Settings'!$B$3-$B175)))</f>
        <v/>
      </c>
      <c r="L175" s="11">
        <f>IF($A175="","",IF(OR($H175="Paused",AND($B175&lt;&gt;"",'Settings'!$B$3-$B175&lt;=14)),0,IF($E175/12&gt;=0.75,IF(1-($D175/4)/($E175/12)&gt;=0.3,ROUND(30*(1-($D175/4)/($E175/12)),0),0),0)))</f>
        <v/>
      </c>
      <c r="M175" s="11">
        <f>IF($A175="","",IF(OR($H175="Paused",AND($B175&lt;&gt;"",'Settings'!$B$3-$B175&lt;=14)),0,IF($C175="",12,IF(MAX(0,'Settings'!$B$3-$C175)&lt;=7,0,IF(MAX(0,'Settings'!$B$3-$C175)&lt;=14,6,IF(MAX(0,'Settings'!$B$3-$C175)&lt;=21,12,IF(MAX(0,'Settings'!$B$3-$C175)&lt;=35,18,20)))))))</f>
        <v/>
      </c>
      <c r="N175" s="11">
        <f>IF($A175="","",IF(AND($H175&lt;&gt;"Paused",OR($B175="",'Settings'!$B$3-$B175&gt;14),$L175=0,IF($F175&gt;=2,1-$D175/$F175&gt;=0.5,FALSE)),10,0))</f>
        <v/>
      </c>
      <c r="O175" s="11">
        <f>IF($A175="","",MIN(16,$G175*8))</f>
        <v/>
      </c>
      <c r="P175" s="11">
        <f>IF($A175="","",IF($H175="Paused",14,IF($I175&gt;0,6,0)))</f>
        <v/>
      </c>
      <c r="Q175" s="11">
        <f>IF($A175="","",IF($H175="Ended",30,0))</f>
        <v/>
      </c>
      <c r="R175" s="11">
        <f>IF($A175="","",MIN(15,$J175*8))</f>
        <v/>
      </c>
      <c r="S175" s="11">
        <f>IF($A175="","",IF(AND($B175&lt;&gt;"",$K175&lt;90,SUM($L175:$N175)&gt;0),ROUND(0.25*SUM($L175:$N175),0),0))</f>
        <v/>
      </c>
      <c r="T175" s="11">
        <f>IF($A175="","",MIN(100,SUM($L175:$S175)))</f>
        <v/>
      </c>
      <c r="U175" s="12">
        <f>IF($A175="","",IF($T175&lt;25,"Safe",IF($T175&lt;50,"Watch","At-risk")))</f>
        <v/>
      </c>
      <c r="V175" s="12">
        <f>IF($A175="","",IF($T175=0,"—",INDEX($L$1:$S$1,1,MATCH(MAX($L175:$S175),$L175:$S175,0))))</f>
        <v/>
      </c>
    </row>
    <row r="176">
      <c r="A176" s="13" t="n"/>
      <c r="B176" s="9" t="n"/>
      <c r="C176" s="9" t="n"/>
      <c r="D176" s="10" t="n"/>
      <c r="E176" s="10" t="n"/>
      <c r="F176" s="10" t="n"/>
      <c r="G176" s="10" t="n"/>
      <c r="H176" s="13" t="n"/>
      <c r="I176" s="10" t="n"/>
      <c r="J176" s="10" t="n"/>
      <c r="K176" s="11">
        <f>IF($A176="","",IF($B176="","",MAX(0,'Settings'!$B$3-$B176)))</f>
        <v/>
      </c>
      <c r="L176" s="11">
        <f>IF($A176="","",IF(OR($H176="Paused",AND($B176&lt;&gt;"",'Settings'!$B$3-$B176&lt;=14)),0,IF($E176/12&gt;=0.75,IF(1-($D176/4)/($E176/12)&gt;=0.3,ROUND(30*(1-($D176/4)/($E176/12)),0),0),0)))</f>
        <v/>
      </c>
      <c r="M176" s="11">
        <f>IF($A176="","",IF(OR($H176="Paused",AND($B176&lt;&gt;"",'Settings'!$B$3-$B176&lt;=14)),0,IF($C176="",12,IF(MAX(0,'Settings'!$B$3-$C176)&lt;=7,0,IF(MAX(0,'Settings'!$B$3-$C176)&lt;=14,6,IF(MAX(0,'Settings'!$B$3-$C176)&lt;=21,12,IF(MAX(0,'Settings'!$B$3-$C176)&lt;=35,18,20)))))))</f>
        <v/>
      </c>
      <c r="N176" s="11">
        <f>IF($A176="","",IF(AND($H176&lt;&gt;"Paused",OR($B176="",'Settings'!$B$3-$B176&gt;14),$L176=0,IF($F176&gt;=2,1-$D176/$F176&gt;=0.5,FALSE)),10,0))</f>
        <v/>
      </c>
      <c r="O176" s="11">
        <f>IF($A176="","",MIN(16,$G176*8))</f>
        <v/>
      </c>
      <c r="P176" s="11">
        <f>IF($A176="","",IF($H176="Paused",14,IF($I176&gt;0,6,0)))</f>
        <v/>
      </c>
      <c r="Q176" s="11">
        <f>IF($A176="","",IF($H176="Ended",30,0))</f>
        <v/>
      </c>
      <c r="R176" s="11">
        <f>IF($A176="","",MIN(15,$J176*8))</f>
        <v/>
      </c>
      <c r="S176" s="11">
        <f>IF($A176="","",IF(AND($B176&lt;&gt;"",$K176&lt;90,SUM($L176:$N176)&gt;0),ROUND(0.25*SUM($L176:$N176),0),0))</f>
        <v/>
      </c>
      <c r="T176" s="11">
        <f>IF($A176="","",MIN(100,SUM($L176:$S176)))</f>
        <v/>
      </c>
      <c r="U176" s="12">
        <f>IF($A176="","",IF($T176&lt;25,"Safe",IF($T176&lt;50,"Watch","At-risk")))</f>
        <v/>
      </c>
      <c r="V176" s="12">
        <f>IF($A176="","",IF($T176=0,"—",INDEX($L$1:$S$1,1,MATCH(MAX($L176:$S176),$L176:$S176,0))))</f>
        <v/>
      </c>
    </row>
    <row r="177">
      <c r="A177" s="13" t="n"/>
      <c r="B177" s="9" t="n"/>
      <c r="C177" s="9" t="n"/>
      <c r="D177" s="10" t="n"/>
      <c r="E177" s="10" t="n"/>
      <c r="F177" s="10" t="n"/>
      <c r="G177" s="10" t="n"/>
      <c r="H177" s="13" t="n"/>
      <c r="I177" s="10" t="n"/>
      <c r="J177" s="10" t="n"/>
      <c r="K177" s="11">
        <f>IF($A177="","",IF($B177="","",MAX(0,'Settings'!$B$3-$B177)))</f>
        <v/>
      </c>
      <c r="L177" s="11">
        <f>IF($A177="","",IF(OR($H177="Paused",AND($B177&lt;&gt;"",'Settings'!$B$3-$B177&lt;=14)),0,IF($E177/12&gt;=0.75,IF(1-($D177/4)/($E177/12)&gt;=0.3,ROUND(30*(1-($D177/4)/($E177/12)),0),0),0)))</f>
        <v/>
      </c>
      <c r="M177" s="11">
        <f>IF($A177="","",IF(OR($H177="Paused",AND($B177&lt;&gt;"",'Settings'!$B$3-$B177&lt;=14)),0,IF($C177="",12,IF(MAX(0,'Settings'!$B$3-$C177)&lt;=7,0,IF(MAX(0,'Settings'!$B$3-$C177)&lt;=14,6,IF(MAX(0,'Settings'!$B$3-$C177)&lt;=21,12,IF(MAX(0,'Settings'!$B$3-$C177)&lt;=35,18,20)))))))</f>
        <v/>
      </c>
      <c r="N177" s="11">
        <f>IF($A177="","",IF(AND($H177&lt;&gt;"Paused",OR($B177="",'Settings'!$B$3-$B177&gt;14),$L177=0,IF($F177&gt;=2,1-$D177/$F177&gt;=0.5,FALSE)),10,0))</f>
        <v/>
      </c>
      <c r="O177" s="11">
        <f>IF($A177="","",MIN(16,$G177*8))</f>
        <v/>
      </c>
      <c r="P177" s="11">
        <f>IF($A177="","",IF($H177="Paused",14,IF($I177&gt;0,6,0)))</f>
        <v/>
      </c>
      <c r="Q177" s="11">
        <f>IF($A177="","",IF($H177="Ended",30,0))</f>
        <v/>
      </c>
      <c r="R177" s="11">
        <f>IF($A177="","",MIN(15,$J177*8))</f>
        <v/>
      </c>
      <c r="S177" s="11">
        <f>IF($A177="","",IF(AND($B177&lt;&gt;"",$K177&lt;90,SUM($L177:$N177)&gt;0),ROUND(0.25*SUM($L177:$N177),0),0))</f>
        <v/>
      </c>
      <c r="T177" s="11">
        <f>IF($A177="","",MIN(100,SUM($L177:$S177)))</f>
        <v/>
      </c>
      <c r="U177" s="12">
        <f>IF($A177="","",IF($T177&lt;25,"Safe",IF($T177&lt;50,"Watch","At-risk")))</f>
        <v/>
      </c>
      <c r="V177" s="12">
        <f>IF($A177="","",IF($T177=0,"—",INDEX($L$1:$S$1,1,MATCH(MAX($L177:$S177),$L177:$S177,0))))</f>
        <v/>
      </c>
    </row>
    <row r="178">
      <c r="A178" s="13" t="n"/>
      <c r="B178" s="9" t="n"/>
      <c r="C178" s="9" t="n"/>
      <c r="D178" s="10" t="n"/>
      <c r="E178" s="10" t="n"/>
      <c r="F178" s="10" t="n"/>
      <c r="G178" s="10" t="n"/>
      <c r="H178" s="13" t="n"/>
      <c r="I178" s="10" t="n"/>
      <c r="J178" s="10" t="n"/>
      <c r="K178" s="11">
        <f>IF($A178="","",IF($B178="","",MAX(0,'Settings'!$B$3-$B178)))</f>
        <v/>
      </c>
      <c r="L178" s="11">
        <f>IF($A178="","",IF(OR($H178="Paused",AND($B178&lt;&gt;"",'Settings'!$B$3-$B178&lt;=14)),0,IF($E178/12&gt;=0.75,IF(1-($D178/4)/($E178/12)&gt;=0.3,ROUND(30*(1-($D178/4)/($E178/12)),0),0),0)))</f>
        <v/>
      </c>
      <c r="M178" s="11">
        <f>IF($A178="","",IF(OR($H178="Paused",AND($B178&lt;&gt;"",'Settings'!$B$3-$B178&lt;=14)),0,IF($C178="",12,IF(MAX(0,'Settings'!$B$3-$C178)&lt;=7,0,IF(MAX(0,'Settings'!$B$3-$C178)&lt;=14,6,IF(MAX(0,'Settings'!$B$3-$C178)&lt;=21,12,IF(MAX(0,'Settings'!$B$3-$C178)&lt;=35,18,20)))))))</f>
        <v/>
      </c>
      <c r="N178" s="11">
        <f>IF($A178="","",IF(AND($H178&lt;&gt;"Paused",OR($B178="",'Settings'!$B$3-$B178&gt;14),$L178=0,IF($F178&gt;=2,1-$D178/$F178&gt;=0.5,FALSE)),10,0))</f>
        <v/>
      </c>
      <c r="O178" s="11">
        <f>IF($A178="","",MIN(16,$G178*8))</f>
        <v/>
      </c>
      <c r="P178" s="11">
        <f>IF($A178="","",IF($H178="Paused",14,IF($I178&gt;0,6,0)))</f>
        <v/>
      </c>
      <c r="Q178" s="11">
        <f>IF($A178="","",IF($H178="Ended",30,0))</f>
        <v/>
      </c>
      <c r="R178" s="11">
        <f>IF($A178="","",MIN(15,$J178*8))</f>
        <v/>
      </c>
      <c r="S178" s="11">
        <f>IF($A178="","",IF(AND($B178&lt;&gt;"",$K178&lt;90,SUM($L178:$N178)&gt;0),ROUND(0.25*SUM($L178:$N178),0),0))</f>
        <v/>
      </c>
      <c r="T178" s="11">
        <f>IF($A178="","",MIN(100,SUM($L178:$S178)))</f>
        <v/>
      </c>
      <c r="U178" s="12">
        <f>IF($A178="","",IF($T178&lt;25,"Safe",IF($T178&lt;50,"Watch","At-risk")))</f>
        <v/>
      </c>
      <c r="V178" s="12">
        <f>IF($A178="","",IF($T178=0,"—",INDEX($L$1:$S$1,1,MATCH(MAX($L178:$S178),$L178:$S178,0))))</f>
        <v/>
      </c>
    </row>
    <row r="179">
      <c r="A179" s="13" t="n"/>
      <c r="B179" s="9" t="n"/>
      <c r="C179" s="9" t="n"/>
      <c r="D179" s="10" t="n"/>
      <c r="E179" s="10" t="n"/>
      <c r="F179" s="10" t="n"/>
      <c r="G179" s="10" t="n"/>
      <c r="H179" s="13" t="n"/>
      <c r="I179" s="10" t="n"/>
      <c r="J179" s="10" t="n"/>
      <c r="K179" s="11">
        <f>IF($A179="","",IF($B179="","",MAX(0,'Settings'!$B$3-$B179)))</f>
        <v/>
      </c>
      <c r="L179" s="11">
        <f>IF($A179="","",IF(OR($H179="Paused",AND($B179&lt;&gt;"",'Settings'!$B$3-$B179&lt;=14)),0,IF($E179/12&gt;=0.75,IF(1-($D179/4)/($E179/12)&gt;=0.3,ROUND(30*(1-($D179/4)/($E179/12)),0),0),0)))</f>
        <v/>
      </c>
      <c r="M179" s="11">
        <f>IF($A179="","",IF(OR($H179="Paused",AND($B179&lt;&gt;"",'Settings'!$B$3-$B179&lt;=14)),0,IF($C179="",12,IF(MAX(0,'Settings'!$B$3-$C179)&lt;=7,0,IF(MAX(0,'Settings'!$B$3-$C179)&lt;=14,6,IF(MAX(0,'Settings'!$B$3-$C179)&lt;=21,12,IF(MAX(0,'Settings'!$B$3-$C179)&lt;=35,18,20)))))))</f>
        <v/>
      </c>
      <c r="N179" s="11">
        <f>IF($A179="","",IF(AND($H179&lt;&gt;"Paused",OR($B179="",'Settings'!$B$3-$B179&gt;14),$L179=0,IF($F179&gt;=2,1-$D179/$F179&gt;=0.5,FALSE)),10,0))</f>
        <v/>
      </c>
      <c r="O179" s="11">
        <f>IF($A179="","",MIN(16,$G179*8))</f>
        <v/>
      </c>
      <c r="P179" s="11">
        <f>IF($A179="","",IF($H179="Paused",14,IF($I179&gt;0,6,0)))</f>
        <v/>
      </c>
      <c r="Q179" s="11">
        <f>IF($A179="","",IF($H179="Ended",30,0))</f>
        <v/>
      </c>
      <c r="R179" s="11">
        <f>IF($A179="","",MIN(15,$J179*8))</f>
        <v/>
      </c>
      <c r="S179" s="11">
        <f>IF($A179="","",IF(AND($B179&lt;&gt;"",$K179&lt;90,SUM($L179:$N179)&gt;0),ROUND(0.25*SUM($L179:$N179),0),0))</f>
        <v/>
      </c>
      <c r="T179" s="11">
        <f>IF($A179="","",MIN(100,SUM($L179:$S179)))</f>
        <v/>
      </c>
      <c r="U179" s="12">
        <f>IF($A179="","",IF($T179&lt;25,"Safe",IF($T179&lt;50,"Watch","At-risk")))</f>
        <v/>
      </c>
      <c r="V179" s="12">
        <f>IF($A179="","",IF($T179=0,"—",INDEX($L$1:$S$1,1,MATCH(MAX($L179:$S179),$L179:$S179,0))))</f>
        <v/>
      </c>
    </row>
    <row r="180">
      <c r="A180" s="13" t="n"/>
      <c r="B180" s="9" t="n"/>
      <c r="C180" s="9" t="n"/>
      <c r="D180" s="10" t="n"/>
      <c r="E180" s="10" t="n"/>
      <c r="F180" s="10" t="n"/>
      <c r="G180" s="10" t="n"/>
      <c r="H180" s="13" t="n"/>
      <c r="I180" s="10" t="n"/>
      <c r="J180" s="10" t="n"/>
      <c r="K180" s="11">
        <f>IF($A180="","",IF($B180="","",MAX(0,'Settings'!$B$3-$B180)))</f>
        <v/>
      </c>
      <c r="L180" s="11">
        <f>IF($A180="","",IF(OR($H180="Paused",AND($B180&lt;&gt;"",'Settings'!$B$3-$B180&lt;=14)),0,IF($E180/12&gt;=0.75,IF(1-($D180/4)/($E180/12)&gt;=0.3,ROUND(30*(1-($D180/4)/($E180/12)),0),0),0)))</f>
        <v/>
      </c>
      <c r="M180" s="11">
        <f>IF($A180="","",IF(OR($H180="Paused",AND($B180&lt;&gt;"",'Settings'!$B$3-$B180&lt;=14)),0,IF($C180="",12,IF(MAX(0,'Settings'!$B$3-$C180)&lt;=7,0,IF(MAX(0,'Settings'!$B$3-$C180)&lt;=14,6,IF(MAX(0,'Settings'!$B$3-$C180)&lt;=21,12,IF(MAX(0,'Settings'!$B$3-$C180)&lt;=35,18,20)))))))</f>
        <v/>
      </c>
      <c r="N180" s="11">
        <f>IF($A180="","",IF(AND($H180&lt;&gt;"Paused",OR($B180="",'Settings'!$B$3-$B180&gt;14),$L180=0,IF($F180&gt;=2,1-$D180/$F180&gt;=0.5,FALSE)),10,0))</f>
        <v/>
      </c>
      <c r="O180" s="11">
        <f>IF($A180="","",MIN(16,$G180*8))</f>
        <v/>
      </c>
      <c r="P180" s="11">
        <f>IF($A180="","",IF($H180="Paused",14,IF($I180&gt;0,6,0)))</f>
        <v/>
      </c>
      <c r="Q180" s="11">
        <f>IF($A180="","",IF($H180="Ended",30,0))</f>
        <v/>
      </c>
      <c r="R180" s="11">
        <f>IF($A180="","",MIN(15,$J180*8))</f>
        <v/>
      </c>
      <c r="S180" s="11">
        <f>IF($A180="","",IF(AND($B180&lt;&gt;"",$K180&lt;90,SUM($L180:$N180)&gt;0),ROUND(0.25*SUM($L180:$N180),0),0))</f>
        <v/>
      </c>
      <c r="T180" s="11">
        <f>IF($A180="","",MIN(100,SUM($L180:$S180)))</f>
        <v/>
      </c>
      <c r="U180" s="12">
        <f>IF($A180="","",IF($T180&lt;25,"Safe",IF($T180&lt;50,"Watch","At-risk")))</f>
        <v/>
      </c>
      <c r="V180" s="12">
        <f>IF($A180="","",IF($T180=0,"—",INDEX($L$1:$S$1,1,MATCH(MAX($L180:$S180),$L180:$S180,0))))</f>
        <v/>
      </c>
    </row>
    <row r="181">
      <c r="A181" s="13" t="n"/>
      <c r="B181" s="9" t="n"/>
      <c r="C181" s="9" t="n"/>
      <c r="D181" s="10" t="n"/>
      <c r="E181" s="10" t="n"/>
      <c r="F181" s="10" t="n"/>
      <c r="G181" s="10" t="n"/>
      <c r="H181" s="13" t="n"/>
      <c r="I181" s="10" t="n"/>
      <c r="J181" s="10" t="n"/>
      <c r="K181" s="11">
        <f>IF($A181="","",IF($B181="","",MAX(0,'Settings'!$B$3-$B181)))</f>
        <v/>
      </c>
      <c r="L181" s="11">
        <f>IF($A181="","",IF(OR($H181="Paused",AND($B181&lt;&gt;"",'Settings'!$B$3-$B181&lt;=14)),0,IF($E181/12&gt;=0.75,IF(1-($D181/4)/($E181/12)&gt;=0.3,ROUND(30*(1-($D181/4)/($E181/12)),0),0),0)))</f>
        <v/>
      </c>
      <c r="M181" s="11">
        <f>IF($A181="","",IF(OR($H181="Paused",AND($B181&lt;&gt;"",'Settings'!$B$3-$B181&lt;=14)),0,IF($C181="",12,IF(MAX(0,'Settings'!$B$3-$C181)&lt;=7,0,IF(MAX(0,'Settings'!$B$3-$C181)&lt;=14,6,IF(MAX(0,'Settings'!$B$3-$C181)&lt;=21,12,IF(MAX(0,'Settings'!$B$3-$C181)&lt;=35,18,20)))))))</f>
        <v/>
      </c>
      <c r="N181" s="11">
        <f>IF($A181="","",IF(AND($H181&lt;&gt;"Paused",OR($B181="",'Settings'!$B$3-$B181&gt;14),$L181=0,IF($F181&gt;=2,1-$D181/$F181&gt;=0.5,FALSE)),10,0))</f>
        <v/>
      </c>
      <c r="O181" s="11">
        <f>IF($A181="","",MIN(16,$G181*8))</f>
        <v/>
      </c>
      <c r="P181" s="11">
        <f>IF($A181="","",IF($H181="Paused",14,IF($I181&gt;0,6,0)))</f>
        <v/>
      </c>
      <c r="Q181" s="11">
        <f>IF($A181="","",IF($H181="Ended",30,0))</f>
        <v/>
      </c>
      <c r="R181" s="11">
        <f>IF($A181="","",MIN(15,$J181*8))</f>
        <v/>
      </c>
      <c r="S181" s="11">
        <f>IF($A181="","",IF(AND($B181&lt;&gt;"",$K181&lt;90,SUM($L181:$N181)&gt;0),ROUND(0.25*SUM($L181:$N181),0),0))</f>
        <v/>
      </c>
      <c r="T181" s="11">
        <f>IF($A181="","",MIN(100,SUM($L181:$S181)))</f>
        <v/>
      </c>
      <c r="U181" s="12">
        <f>IF($A181="","",IF($T181&lt;25,"Safe",IF($T181&lt;50,"Watch","At-risk")))</f>
        <v/>
      </c>
      <c r="V181" s="12">
        <f>IF($A181="","",IF($T181=0,"—",INDEX($L$1:$S$1,1,MATCH(MAX($L181:$S181),$L181:$S181,0))))</f>
        <v/>
      </c>
    </row>
    <row r="182">
      <c r="A182" s="13" t="n"/>
      <c r="B182" s="9" t="n"/>
      <c r="C182" s="9" t="n"/>
      <c r="D182" s="10" t="n"/>
      <c r="E182" s="10" t="n"/>
      <c r="F182" s="10" t="n"/>
      <c r="G182" s="10" t="n"/>
      <c r="H182" s="13" t="n"/>
      <c r="I182" s="10" t="n"/>
      <c r="J182" s="10" t="n"/>
      <c r="K182" s="11">
        <f>IF($A182="","",IF($B182="","",MAX(0,'Settings'!$B$3-$B182)))</f>
        <v/>
      </c>
      <c r="L182" s="11">
        <f>IF($A182="","",IF(OR($H182="Paused",AND($B182&lt;&gt;"",'Settings'!$B$3-$B182&lt;=14)),0,IF($E182/12&gt;=0.75,IF(1-($D182/4)/($E182/12)&gt;=0.3,ROUND(30*(1-($D182/4)/($E182/12)),0),0),0)))</f>
        <v/>
      </c>
      <c r="M182" s="11">
        <f>IF($A182="","",IF(OR($H182="Paused",AND($B182&lt;&gt;"",'Settings'!$B$3-$B182&lt;=14)),0,IF($C182="",12,IF(MAX(0,'Settings'!$B$3-$C182)&lt;=7,0,IF(MAX(0,'Settings'!$B$3-$C182)&lt;=14,6,IF(MAX(0,'Settings'!$B$3-$C182)&lt;=21,12,IF(MAX(0,'Settings'!$B$3-$C182)&lt;=35,18,20)))))))</f>
        <v/>
      </c>
      <c r="N182" s="11">
        <f>IF($A182="","",IF(AND($H182&lt;&gt;"Paused",OR($B182="",'Settings'!$B$3-$B182&gt;14),$L182=0,IF($F182&gt;=2,1-$D182/$F182&gt;=0.5,FALSE)),10,0))</f>
        <v/>
      </c>
      <c r="O182" s="11">
        <f>IF($A182="","",MIN(16,$G182*8))</f>
        <v/>
      </c>
      <c r="P182" s="11">
        <f>IF($A182="","",IF($H182="Paused",14,IF($I182&gt;0,6,0)))</f>
        <v/>
      </c>
      <c r="Q182" s="11">
        <f>IF($A182="","",IF($H182="Ended",30,0))</f>
        <v/>
      </c>
      <c r="R182" s="11">
        <f>IF($A182="","",MIN(15,$J182*8))</f>
        <v/>
      </c>
      <c r="S182" s="11">
        <f>IF($A182="","",IF(AND($B182&lt;&gt;"",$K182&lt;90,SUM($L182:$N182)&gt;0),ROUND(0.25*SUM($L182:$N182),0),0))</f>
        <v/>
      </c>
      <c r="T182" s="11">
        <f>IF($A182="","",MIN(100,SUM($L182:$S182)))</f>
        <v/>
      </c>
      <c r="U182" s="12">
        <f>IF($A182="","",IF($T182&lt;25,"Safe",IF($T182&lt;50,"Watch","At-risk")))</f>
        <v/>
      </c>
      <c r="V182" s="12">
        <f>IF($A182="","",IF($T182=0,"—",INDEX($L$1:$S$1,1,MATCH(MAX($L182:$S182),$L182:$S182,0))))</f>
        <v/>
      </c>
    </row>
    <row r="183">
      <c r="A183" s="13" t="n"/>
      <c r="B183" s="9" t="n"/>
      <c r="C183" s="9" t="n"/>
      <c r="D183" s="10" t="n"/>
      <c r="E183" s="10" t="n"/>
      <c r="F183" s="10" t="n"/>
      <c r="G183" s="10" t="n"/>
      <c r="H183" s="13" t="n"/>
      <c r="I183" s="10" t="n"/>
      <c r="J183" s="10" t="n"/>
      <c r="K183" s="11">
        <f>IF($A183="","",IF($B183="","",MAX(0,'Settings'!$B$3-$B183)))</f>
        <v/>
      </c>
      <c r="L183" s="11">
        <f>IF($A183="","",IF(OR($H183="Paused",AND($B183&lt;&gt;"",'Settings'!$B$3-$B183&lt;=14)),0,IF($E183/12&gt;=0.75,IF(1-($D183/4)/($E183/12)&gt;=0.3,ROUND(30*(1-($D183/4)/($E183/12)),0),0),0)))</f>
        <v/>
      </c>
      <c r="M183" s="11">
        <f>IF($A183="","",IF(OR($H183="Paused",AND($B183&lt;&gt;"",'Settings'!$B$3-$B183&lt;=14)),0,IF($C183="",12,IF(MAX(0,'Settings'!$B$3-$C183)&lt;=7,0,IF(MAX(0,'Settings'!$B$3-$C183)&lt;=14,6,IF(MAX(0,'Settings'!$B$3-$C183)&lt;=21,12,IF(MAX(0,'Settings'!$B$3-$C183)&lt;=35,18,20)))))))</f>
        <v/>
      </c>
      <c r="N183" s="11">
        <f>IF($A183="","",IF(AND($H183&lt;&gt;"Paused",OR($B183="",'Settings'!$B$3-$B183&gt;14),$L183=0,IF($F183&gt;=2,1-$D183/$F183&gt;=0.5,FALSE)),10,0))</f>
        <v/>
      </c>
      <c r="O183" s="11">
        <f>IF($A183="","",MIN(16,$G183*8))</f>
        <v/>
      </c>
      <c r="P183" s="11">
        <f>IF($A183="","",IF($H183="Paused",14,IF($I183&gt;0,6,0)))</f>
        <v/>
      </c>
      <c r="Q183" s="11">
        <f>IF($A183="","",IF($H183="Ended",30,0))</f>
        <v/>
      </c>
      <c r="R183" s="11">
        <f>IF($A183="","",MIN(15,$J183*8))</f>
        <v/>
      </c>
      <c r="S183" s="11">
        <f>IF($A183="","",IF(AND($B183&lt;&gt;"",$K183&lt;90,SUM($L183:$N183)&gt;0),ROUND(0.25*SUM($L183:$N183),0),0))</f>
        <v/>
      </c>
      <c r="T183" s="11">
        <f>IF($A183="","",MIN(100,SUM($L183:$S183)))</f>
        <v/>
      </c>
      <c r="U183" s="12">
        <f>IF($A183="","",IF($T183&lt;25,"Safe",IF($T183&lt;50,"Watch","At-risk")))</f>
        <v/>
      </c>
      <c r="V183" s="12">
        <f>IF($A183="","",IF($T183=0,"—",INDEX($L$1:$S$1,1,MATCH(MAX($L183:$S183),$L183:$S183,0))))</f>
        <v/>
      </c>
    </row>
    <row r="184">
      <c r="A184" s="13" t="n"/>
      <c r="B184" s="9" t="n"/>
      <c r="C184" s="9" t="n"/>
      <c r="D184" s="10" t="n"/>
      <c r="E184" s="10" t="n"/>
      <c r="F184" s="10" t="n"/>
      <c r="G184" s="10" t="n"/>
      <c r="H184" s="13" t="n"/>
      <c r="I184" s="10" t="n"/>
      <c r="J184" s="10" t="n"/>
      <c r="K184" s="11">
        <f>IF($A184="","",IF($B184="","",MAX(0,'Settings'!$B$3-$B184)))</f>
        <v/>
      </c>
      <c r="L184" s="11">
        <f>IF($A184="","",IF(OR($H184="Paused",AND($B184&lt;&gt;"",'Settings'!$B$3-$B184&lt;=14)),0,IF($E184/12&gt;=0.75,IF(1-($D184/4)/($E184/12)&gt;=0.3,ROUND(30*(1-($D184/4)/($E184/12)),0),0),0)))</f>
        <v/>
      </c>
      <c r="M184" s="11">
        <f>IF($A184="","",IF(OR($H184="Paused",AND($B184&lt;&gt;"",'Settings'!$B$3-$B184&lt;=14)),0,IF($C184="",12,IF(MAX(0,'Settings'!$B$3-$C184)&lt;=7,0,IF(MAX(0,'Settings'!$B$3-$C184)&lt;=14,6,IF(MAX(0,'Settings'!$B$3-$C184)&lt;=21,12,IF(MAX(0,'Settings'!$B$3-$C184)&lt;=35,18,20)))))))</f>
        <v/>
      </c>
      <c r="N184" s="11">
        <f>IF($A184="","",IF(AND($H184&lt;&gt;"Paused",OR($B184="",'Settings'!$B$3-$B184&gt;14),$L184=0,IF($F184&gt;=2,1-$D184/$F184&gt;=0.5,FALSE)),10,0))</f>
        <v/>
      </c>
      <c r="O184" s="11">
        <f>IF($A184="","",MIN(16,$G184*8))</f>
        <v/>
      </c>
      <c r="P184" s="11">
        <f>IF($A184="","",IF($H184="Paused",14,IF($I184&gt;0,6,0)))</f>
        <v/>
      </c>
      <c r="Q184" s="11">
        <f>IF($A184="","",IF($H184="Ended",30,0))</f>
        <v/>
      </c>
      <c r="R184" s="11">
        <f>IF($A184="","",MIN(15,$J184*8))</f>
        <v/>
      </c>
      <c r="S184" s="11">
        <f>IF($A184="","",IF(AND($B184&lt;&gt;"",$K184&lt;90,SUM($L184:$N184)&gt;0),ROUND(0.25*SUM($L184:$N184),0),0))</f>
        <v/>
      </c>
      <c r="T184" s="11">
        <f>IF($A184="","",MIN(100,SUM($L184:$S184)))</f>
        <v/>
      </c>
      <c r="U184" s="12">
        <f>IF($A184="","",IF($T184&lt;25,"Safe",IF($T184&lt;50,"Watch","At-risk")))</f>
        <v/>
      </c>
      <c r="V184" s="12">
        <f>IF($A184="","",IF($T184=0,"—",INDEX($L$1:$S$1,1,MATCH(MAX($L184:$S184),$L184:$S184,0))))</f>
        <v/>
      </c>
    </row>
    <row r="185">
      <c r="A185" s="13" t="n"/>
      <c r="B185" s="9" t="n"/>
      <c r="C185" s="9" t="n"/>
      <c r="D185" s="10" t="n"/>
      <c r="E185" s="10" t="n"/>
      <c r="F185" s="10" t="n"/>
      <c r="G185" s="10" t="n"/>
      <c r="H185" s="13" t="n"/>
      <c r="I185" s="10" t="n"/>
      <c r="J185" s="10" t="n"/>
      <c r="K185" s="11">
        <f>IF($A185="","",IF($B185="","",MAX(0,'Settings'!$B$3-$B185)))</f>
        <v/>
      </c>
      <c r="L185" s="11">
        <f>IF($A185="","",IF(OR($H185="Paused",AND($B185&lt;&gt;"",'Settings'!$B$3-$B185&lt;=14)),0,IF($E185/12&gt;=0.75,IF(1-($D185/4)/($E185/12)&gt;=0.3,ROUND(30*(1-($D185/4)/($E185/12)),0),0),0)))</f>
        <v/>
      </c>
      <c r="M185" s="11">
        <f>IF($A185="","",IF(OR($H185="Paused",AND($B185&lt;&gt;"",'Settings'!$B$3-$B185&lt;=14)),0,IF($C185="",12,IF(MAX(0,'Settings'!$B$3-$C185)&lt;=7,0,IF(MAX(0,'Settings'!$B$3-$C185)&lt;=14,6,IF(MAX(0,'Settings'!$B$3-$C185)&lt;=21,12,IF(MAX(0,'Settings'!$B$3-$C185)&lt;=35,18,20)))))))</f>
        <v/>
      </c>
      <c r="N185" s="11">
        <f>IF($A185="","",IF(AND($H185&lt;&gt;"Paused",OR($B185="",'Settings'!$B$3-$B185&gt;14),$L185=0,IF($F185&gt;=2,1-$D185/$F185&gt;=0.5,FALSE)),10,0))</f>
        <v/>
      </c>
      <c r="O185" s="11">
        <f>IF($A185="","",MIN(16,$G185*8))</f>
        <v/>
      </c>
      <c r="P185" s="11">
        <f>IF($A185="","",IF($H185="Paused",14,IF($I185&gt;0,6,0)))</f>
        <v/>
      </c>
      <c r="Q185" s="11">
        <f>IF($A185="","",IF($H185="Ended",30,0))</f>
        <v/>
      </c>
      <c r="R185" s="11">
        <f>IF($A185="","",MIN(15,$J185*8))</f>
        <v/>
      </c>
      <c r="S185" s="11">
        <f>IF($A185="","",IF(AND($B185&lt;&gt;"",$K185&lt;90,SUM($L185:$N185)&gt;0),ROUND(0.25*SUM($L185:$N185),0),0))</f>
        <v/>
      </c>
      <c r="T185" s="11">
        <f>IF($A185="","",MIN(100,SUM($L185:$S185)))</f>
        <v/>
      </c>
      <c r="U185" s="12">
        <f>IF($A185="","",IF($T185&lt;25,"Safe",IF($T185&lt;50,"Watch","At-risk")))</f>
        <v/>
      </c>
      <c r="V185" s="12">
        <f>IF($A185="","",IF($T185=0,"—",INDEX($L$1:$S$1,1,MATCH(MAX($L185:$S185),$L185:$S185,0))))</f>
        <v/>
      </c>
    </row>
    <row r="186">
      <c r="A186" s="13" t="n"/>
      <c r="B186" s="9" t="n"/>
      <c r="C186" s="9" t="n"/>
      <c r="D186" s="10" t="n"/>
      <c r="E186" s="10" t="n"/>
      <c r="F186" s="10" t="n"/>
      <c r="G186" s="10" t="n"/>
      <c r="H186" s="13" t="n"/>
      <c r="I186" s="10" t="n"/>
      <c r="J186" s="10" t="n"/>
      <c r="K186" s="11">
        <f>IF($A186="","",IF($B186="","",MAX(0,'Settings'!$B$3-$B186)))</f>
        <v/>
      </c>
      <c r="L186" s="11">
        <f>IF($A186="","",IF(OR($H186="Paused",AND($B186&lt;&gt;"",'Settings'!$B$3-$B186&lt;=14)),0,IF($E186/12&gt;=0.75,IF(1-($D186/4)/($E186/12)&gt;=0.3,ROUND(30*(1-($D186/4)/($E186/12)),0),0),0)))</f>
        <v/>
      </c>
      <c r="M186" s="11">
        <f>IF($A186="","",IF(OR($H186="Paused",AND($B186&lt;&gt;"",'Settings'!$B$3-$B186&lt;=14)),0,IF($C186="",12,IF(MAX(0,'Settings'!$B$3-$C186)&lt;=7,0,IF(MAX(0,'Settings'!$B$3-$C186)&lt;=14,6,IF(MAX(0,'Settings'!$B$3-$C186)&lt;=21,12,IF(MAX(0,'Settings'!$B$3-$C186)&lt;=35,18,20)))))))</f>
        <v/>
      </c>
      <c r="N186" s="11">
        <f>IF($A186="","",IF(AND($H186&lt;&gt;"Paused",OR($B186="",'Settings'!$B$3-$B186&gt;14),$L186=0,IF($F186&gt;=2,1-$D186/$F186&gt;=0.5,FALSE)),10,0))</f>
        <v/>
      </c>
      <c r="O186" s="11">
        <f>IF($A186="","",MIN(16,$G186*8))</f>
        <v/>
      </c>
      <c r="P186" s="11">
        <f>IF($A186="","",IF($H186="Paused",14,IF($I186&gt;0,6,0)))</f>
        <v/>
      </c>
      <c r="Q186" s="11">
        <f>IF($A186="","",IF($H186="Ended",30,0))</f>
        <v/>
      </c>
      <c r="R186" s="11">
        <f>IF($A186="","",MIN(15,$J186*8))</f>
        <v/>
      </c>
      <c r="S186" s="11">
        <f>IF($A186="","",IF(AND($B186&lt;&gt;"",$K186&lt;90,SUM($L186:$N186)&gt;0),ROUND(0.25*SUM($L186:$N186),0),0))</f>
        <v/>
      </c>
      <c r="T186" s="11">
        <f>IF($A186="","",MIN(100,SUM($L186:$S186)))</f>
        <v/>
      </c>
      <c r="U186" s="12">
        <f>IF($A186="","",IF($T186&lt;25,"Safe",IF($T186&lt;50,"Watch","At-risk")))</f>
        <v/>
      </c>
      <c r="V186" s="12">
        <f>IF($A186="","",IF($T186=0,"—",INDEX($L$1:$S$1,1,MATCH(MAX($L186:$S186),$L186:$S186,0))))</f>
        <v/>
      </c>
    </row>
    <row r="187">
      <c r="A187" s="13" t="n"/>
      <c r="B187" s="9" t="n"/>
      <c r="C187" s="9" t="n"/>
      <c r="D187" s="10" t="n"/>
      <c r="E187" s="10" t="n"/>
      <c r="F187" s="10" t="n"/>
      <c r="G187" s="10" t="n"/>
      <c r="H187" s="13" t="n"/>
      <c r="I187" s="10" t="n"/>
      <c r="J187" s="10" t="n"/>
      <c r="K187" s="11">
        <f>IF($A187="","",IF($B187="","",MAX(0,'Settings'!$B$3-$B187)))</f>
        <v/>
      </c>
      <c r="L187" s="11">
        <f>IF($A187="","",IF(OR($H187="Paused",AND($B187&lt;&gt;"",'Settings'!$B$3-$B187&lt;=14)),0,IF($E187/12&gt;=0.75,IF(1-($D187/4)/($E187/12)&gt;=0.3,ROUND(30*(1-($D187/4)/($E187/12)),0),0),0)))</f>
        <v/>
      </c>
      <c r="M187" s="11">
        <f>IF($A187="","",IF(OR($H187="Paused",AND($B187&lt;&gt;"",'Settings'!$B$3-$B187&lt;=14)),0,IF($C187="",12,IF(MAX(0,'Settings'!$B$3-$C187)&lt;=7,0,IF(MAX(0,'Settings'!$B$3-$C187)&lt;=14,6,IF(MAX(0,'Settings'!$B$3-$C187)&lt;=21,12,IF(MAX(0,'Settings'!$B$3-$C187)&lt;=35,18,20)))))))</f>
        <v/>
      </c>
      <c r="N187" s="11">
        <f>IF($A187="","",IF(AND($H187&lt;&gt;"Paused",OR($B187="",'Settings'!$B$3-$B187&gt;14),$L187=0,IF($F187&gt;=2,1-$D187/$F187&gt;=0.5,FALSE)),10,0))</f>
        <v/>
      </c>
      <c r="O187" s="11">
        <f>IF($A187="","",MIN(16,$G187*8))</f>
        <v/>
      </c>
      <c r="P187" s="11">
        <f>IF($A187="","",IF($H187="Paused",14,IF($I187&gt;0,6,0)))</f>
        <v/>
      </c>
      <c r="Q187" s="11">
        <f>IF($A187="","",IF($H187="Ended",30,0))</f>
        <v/>
      </c>
      <c r="R187" s="11">
        <f>IF($A187="","",MIN(15,$J187*8))</f>
        <v/>
      </c>
      <c r="S187" s="11">
        <f>IF($A187="","",IF(AND($B187&lt;&gt;"",$K187&lt;90,SUM($L187:$N187)&gt;0),ROUND(0.25*SUM($L187:$N187),0),0))</f>
        <v/>
      </c>
      <c r="T187" s="11">
        <f>IF($A187="","",MIN(100,SUM($L187:$S187)))</f>
        <v/>
      </c>
      <c r="U187" s="12">
        <f>IF($A187="","",IF($T187&lt;25,"Safe",IF($T187&lt;50,"Watch","At-risk")))</f>
        <v/>
      </c>
      <c r="V187" s="12">
        <f>IF($A187="","",IF($T187=0,"—",INDEX($L$1:$S$1,1,MATCH(MAX($L187:$S187),$L187:$S187,0))))</f>
        <v/>
      </c>
    </row>
    <row r="188">
      <c r="A188" s="13" t="n"/>
      <c r="B188" s="9" t="n"/>
      <c r="C188" s="9" t="n"/>
      <c r="D188" s="10" t="n"/>
      <c r="E188" s="10" t="n"/>
      <c r="F188" s="10" t="n"/>
      <c r="G188" s="10" t="n"/>
      <c r="H188" s="13" t="n"/>
      <c r="I188" s="10" t="n"/>
      <c r="J188" s="10" t="n"/>
      <c r="K188" s="11">
        <f>IF($A188="","",IF($B188="","",MAX(0,'Settings'!$B$3-$B188)))</f>
        <v/>
      </c>
      <c r="L188" s="11">
        <f>IF($A188="","",IF(OR($H188="Paused",AND($B188&lt;&gt;"",'Settings'!$B$3-$B188&lt;=14)),0,IF($E188/12&gt;=0.75,IF(1-($D188/4)/($E188/12)&gt;=0.3,ROUND(30*(1-($D188/4)/($E188/12)),0),0),0)))</f>
        <v/>
      </c>
      <c r="M188" s="11">
        <f>IF($A188="","",IF(OR($H188="Paused",AND($B188&lt;&gt;"",'Settings'!$B$3-$B188&lt;=14)),0,IF($C188="",12,IF(MAX(0,'Settings'!$B$3-$C188)&lt;=7,0,IF(MAX(0,'Settings'!$B$3-$C188)&lt;=14,6,IF(MAX(0,'Settings'!$B$3-$C188)&lt;=21,12,IF(MAX(0,'Settings'!$B$3-$C188)&lt;=35,18,20)))))))</f>
        <v/>
      </c>
      <c r="N188" s="11">
        <f>IF($A188="","",IF(AND($H188&lt;&gt;"Paused",OR($B188="",'Settings'!$B$3-$B188&gt;14),$L188=0,IF($F188&gt;=2,1-$D188/$F188&gt;=0.5,FALSE)),10,0))</f>
        <v/>
      </c>
      <c r="O188" s="11">
        <f>IF($A188="","",MIN(16,$G188*8))</f>
        <v/>
      </c>
      <c r="P188" s="11">
        <f>IF($A188="","",IF($H188="Paused",14,IF($I188&gt;0,6,0)))</f>
        <v/>
      </c>
      <c r="Q188" s="11">
        <f>IF($A188="","",IF($H188="Ended",30,0))</f>
        <v/>
      </c>
      <c r="R188" s="11">
        <f>IF($A188="","",MIN(15,$J188*8))</f>
        <v/>
      </c>
      <c r="S188" s="11">
        <f>IF($A188="","",IF(AND($B188&lt;&gt;"",$K188&lt;90,SUM($L188:$N188)&gt;0),ROUND(0.25*SUM($L188:$N188),0),0))</f>
        <v/>
      </c>
      <c r="T188" s="11">
        <f>IF($A188="","",MIN(100,SUM($L188:$S188)))</f>
        <v/>
      </c>
      <c r="U188" s="12">
        <f>IF($A188="","",IF($T188&lt;25,"Safe",IF($T188&lt;50,"Watch","At-risk")))</f>
        <v/>
      </c>
      <c r="V188" s="12">
        <f>IF($A188="","",IF($T188=0,"—",INDEX($L$1:$S$1,1,MATCH(MAX($L188:$S188),$L188:$S188,0))))</f>
        <v/>
      </c>
    </row>
    <row r="189">
      <c r="A189" s="13" t="n"/>
      <c r="B189" s="9" t="n"/>
      <c r="C189" s="9" t="n"/>
      <c r="D189" s="10" t="n"/>
      <c r="E189" s="10" t="n"/>
      <c r="F189" s="10" t="n"/>
      <c r="G189" s="10" t="n"/>
      <c r="H189" s="13" t="n"/>
      <c r="I189" s="10" t="n"/>
      <c r="J189" s="10" t="n"/>
      <c r="K189" s="11">
        <f>IF($A189="","",IF($B189="","",MAX(0,'Settings'!$B$3-$B189)))</f>
        <v/>
      </c>
      <c r="L189" s="11">
        <f>IF($A189="","",IF(OR($H189="Paused",AND($B189&lt;&gt;"",'Settings'!$B$3-$B189&lt;=14)),0,IF($E189/12&gt;=0.75,IF(1-($D189/4)/($E189/12)&gt;=0.3,ROUND(30*(1-($D189/4)/($E189/12)),0),0),0)))</f>
        <v/>
      </c>
      <c r="M189" s="11">
        <f>IF($A189="","",IF(OR($H189="Paused",AND($B189&lt;&gt;"",'Settings'!$B$3-$B189&lt;=14)),0,IF($C189="",12,IF(MAX(0,'Settings'!$B$3-$C189)&lt;=7,0,IF(MAX(0,'Settings'!$B$3-$C189)&lt;=14,6,IF(MAX(0,'Settings'!$B$3-$C189)&lt;=21,12,IF(MAX(0,'Settings'!$B$3-$C189)&lt;=35,18,20)))))))</f>
        <v/>
      </c>
      <c r="N189" s="11">
        <f>IF($A189="","",IF(AND($H189&lt;&gt;"Paused",OR($B189="",'Settings'!$B$3-$B189&gt;14),$L189=0,IF($F189&gt;=2,1-$D189/$F189&gt;=0.5,FALSE)),10,0))</f>
        <v/>
      </c>
      <c r="O189" s="11">
        <f>IF($A189="","",MIN(16,$G189*8))</f>
        <v/>
      </c>
      <c r="P189" s="11">
        <f>IF($A189="","",IF($H189="Paused",14,IF($I189&gt;0,6,0)))</f>
        <v/>
      </c>
      <c r="Q189" s="11">
        <f>IF($A189="","",IF($H189="Ended",30,0))</f>
        <v/>
      </c>
      <c r="R189" s="11">
        <f>IF($A189="","",MIN(15,$J189*8))</f>
        <v/>
      </c>
      <c r="S189" s="11">
        <f>IF($A189="","",IF(AND($B189&lt;&gt;"",$K189&lt;90,SUM($L189:$N189)&gt;0),ROUND(0.25*SUM($L189:$N189),0),0))</f>
        <v/>
      </c>
      <c r="T189" s="11">
        <f>IF($A189="","",MIN(100,SUM($L189:$S189)))</f>
        <v/>
      </c>
      <c r="U189" s="12">
        <f>IF($A189="","",IF($T189&lt;25,"Safe",IF($T189&lt;50,"Watch","At-risk")))</f>
        <v/>
      </c>
      <c r="V189" s="12">
        <f>IF($A189="","",IF($T189=0,"—",INDEX($L$1:$S$1,1,MATCH(MAX($L189:$S189),$L189:$S189,0))))</f>
        <v/>
      </c>
    </row>
    <row r="190">
      <c r="A190" s="13" t="n"/>
      <c r="B190" s="9" t="n"/>
      <c r="C190" s="9" t="n"/>
      <c r="D190" s="10" t="n"/>
      <c r="E190" s="10" t="n"/>
      <c r="F190" s="10" t="n"/>
      <c r="G190" s="10" t="n"/>
      <c r="H190" s="13" t="n"/>
      <c r="I190" s="10" t="n"/>
      <c r="J190" s="10" t="n"/>
      <c r="K190" s="11">
        <f>IF($A190="","",IF($B190="","",MAX(0,'Settings'!$B$3-$B190)))</f>
        <v/>
      </c>
      <c r="L190" s="11">
        <f>IF($A190="","",IF(OR($H190="Paused",AND($B190&lt;&gt;"",'Settings'!$B$3-$B190&lt;=14)),0,IF($E190/12&gt;=0.75,IF(1-($D190/4)/($E190/12)&gt;=0.3,ROUND(30*(1-($D190/4)/($E190/12)),0),0),0)))</f>
        <v/>
      </c>
      <c r="M190" s="11">
        <f>IF($A190="","",IF(OR($H190="Paused",AND($B190&lt;&gt;"",'Settings'!$B$3-$B190&lt;=14)),0,IF($C190="",12,IF(MAX(0,'Settings'!$B$3-$C190)&lt;=7,0,IF(MAX(0,'Settings'!$B$3-$C190)&lt;=14,6,IF(MAX(0,'Settings'!$B$3-$C190)&lt;=21,12,IF(MAX(0,'Settings'!$B$3-$C190)&lt;=35,18,20)))))))</f>
        <v/>
      </c>
      <c r="N190" s="11">
        <f>IF($A190="","",IF(AND($H190&lt;&gt;"Paused",OR($B190="",'Settings'!$B$3-$B190&gt;14),$L190=0,IF($F190&gt;=2,1-$D190/$F190&gt;=0.5,FALSE)),10,0))</f>
        <v/>
      </c>
      <c r="O190" s="11">
        <f>IF($A190="","",MIN(16,$G190*8))</f>
        <v/>
      </c>
      <c r="P190" s="11">
        <f>IF($A190="","",IF($H190="Paused",14,IF($I190&gt;0,6,0)))</f>
        <v/>
      </c>
      <c r="Q190" s="11">
        <f>IF($A190="","",IF($H190="Ended",30,0))</f>
        <v/>
      </c>
      <c r="R190" s="11">
        <f>IF($A190="","",MIN(15,$J190*8))</f>
        <v/>
      </c>
      <c r="S190" s="11">
        <f>IF($A190="","",IF(AND($B190&lt;&gt;"",$K190&lt;90,SUM($L190:$N190)&gt;0),ROUND(0.25*SUM($L190:$N190),0),0))</f>
        <v/>
      </c>
      <c r="T190" s="11">
        <f>IF($A190="","",MIN(100,SUM($L190:$S190)))</f>
        <v/>
      </c>
      <c r="U190" s="12">
        <f>IF($A190="","",IF($T190&lt;25,"Safe",IF($T190&lt;50,"Watch","At-risk")))</f>
        <v/>
      </c>
      <c r="V190" s="12">
        <f>IF($A190="","",IF($T190=0,"—",INDEX($L$1:$S$1,1,MATCH(MAX($L190:$S190),$L190:$S190,0))))</f>
        <v/>
      </c>
    </row>
    <row r="191">
      <c r="A191" s="13" t="n"/>
      <c r="B191" s="9" t="n"/>
      <c r="C191" s="9" t="n"/>
      <c r="D191" s="10" t="n"/>
      <c r="E191" s="10" t="n"/>
      <c r="F191" s="10" t="n"/>
      <c r="G191" s="10" t="n"/>
      <c r="H191" s="13" t="n"/>
      <c r="I191" s="10" t="n"/>
      <c r="J191" s="10" t="n"/>
      <c r="K191" s="11">
        <f>IF($A191="","",IF($B191="","",MAX(0,'Settings'!$B$3-$B191)))</f>
        <v/>
      </c>
      <c r="L191" s="11">
        <f>IF($A191="","",IF(OR($H191="Paused",AND($B191&lt;&gt;"",'Settings'!$B$3-$B191&lt;=14)),0,IF($E191/12&gt;=0.75,IF(1-($D191/4)/($E191/12)&gt;=0.3,ROUND(30*(1-($D191/4)/($E191/12)),0),0),0)))</f>
        <v/>
      </c>
      <c r="M191" s="11">
        <f>IF($A191="","",IF(OR($H191="Paused",AND($B191&lt;&gt;"",'Settings'!$B$3-$B191&lt;=14)),0,IF($C191="",12,IF(MAX(0,'Settings'!$B$3-$C191)&lt;=7,0,IF(MAX(0,'Settings'!$B$3-$C191)&lt;=14,6,IF(MAX(0,'Settings'!$B$3-$C191)&lt;=21,12,IF(MAX(0,'Settings'!$B$3-$C191)&lt;=35,18,20)))))))</f>
        <v/>
      </c>
      <c r="N191" s="11">
        <f>IF($A191="","",IF(AND($H191&lt;&gt;"Paused",OR($B191="",'Settings'!$B$3-$B191&gt;14),$L191=0,IF($F191&gt;=2,1-$D191/$F191&gt;=0.5,FALSE)),10,0))</f>
        <v/>
      </c>
      <c r="O191" s="11">
        <f>IF($A191="","",MIN(16,$G191*8))</f>
        <v/>
      </c>
      <c r="P191" s="11">
        <f>IF($A191="","",IF($H191="Paused",14,IF($I191&gt;0,6,0)))</f>
        <v/>
      </c>
      <c r="Q191" s="11">
        <f>IF($A191="","",IF($H191="Ended",30,0))</f>
        <v/>
      </c>
      <c r="R191" s="11">
        <f>IF($A191="","",MIN(15,$J191*8))</f>
        <v/>
      </c>
      <c r="S191" s="11">
        <f>IF($A191="","",IF(AND($B191&lt;&gt;"",$K191&lt;90,SUM($L191:$N191)&gt;0),ROUND(0.25*SUM($L191:$N191),0),0))</f>
        <v/>
      </c>
      <c r="T191" s="11">
        <f>IF($A191="","",MIN(100,SUM($L191:$S191)))</f>
        <v/>
      </c>
      <c r="U191" s="12">
        <f>IF($A191="","",IF($T191&lt;25,"Safe",IF($T191&lt;50,"Watch","At-risk")))</f>
        <v/>
      </c>
      <c r="V191" s="12">
        <f>IF($A191="","",IF($T191=0,"—",INDEX($L$1:$S$1,1,MATCH(MAX($L191:$S191),$L191:$S191,0))))</f>
        <v/>
      </c>
    </row>
    <row r="192">
      <c r="A192" s="13" t="n"/>
      <c r="B192" s="9" t="n"/>
      <c r="C192" s="9" t="n"/>
      <c r="D192" s="10" t="n"/>
      <c r="E192" s="10" t="n"/>
      <c r="F192" s="10" t="n"/>
      <c r="G192" s="10" t="n"/>
      <c r="H192" s="13" t="n"/>
      <c r="I192" s="10" t="n"/>
      <c r="J192" s="10" t="n"/>
      <c r="K192" s="11">
        <f>IF($A192="","",IF($B192="","",MAX(0,'Settings'!$B$3-$B192)))</f>
        <v/>
      </c>
      <c r="L192" s="11">
        <f>IF($A192="","",IF(OR($H192="Paused",AND($B192&lt;&gt;"",'Settings'!$B$3-$B192&lt;=14)),0,IF($E192/12&gt;=0.75,IF(1-($D192/4)/($E192/12)&gt;=0.3,ROUND(30*(1-($D192/4)/($E192/12)),0),0),0)))</f>
        <v/>
      </c>
      <c r="M192" s="11">
        <f>IF($A192="","",IF(OR($H192="Paused",AND($B192&lt;&gt;"",'Settings'!$B$3-$B192&lt;=14)),0,IF($C192="",12,IF(MAX(0,'Settings'!$B$3-$C192)&lt;=7,0,IF(MAX(0,'Settings'!$B$3-$C192)&lt;=14,6,IF(MAX(0,'Settings'!$B$3-$C192)&lt;=21,12,IF(MAX(0,'Settings'!$B$3-$C192)&lt;=35,18,20)))))))</f>
        <v/>
      </c>
      <c r="N192" s="11">
        <f>IF($A192="","",IF(AND($H192&lt;&gt;"Paused",OR($B192="",'Settings'!$B$3-$B192&gt;14),$L192=0,IF($F192&gt;=2,1-$D192/$F192&gt;=0.5,FALSE)),10,0))</f>
        <v/>
      </c>
      <c r="O192" s="11">
        <f>IF($A192="","",MIN(16,$G192*8))</f>
        <v/>
      </c>
      <c r="P192" s="11">
        <f>IF($A192="","",IF($H192="Paused",14,IF($I192&gt;0,6,0)))</f>
        <v/>
      </c>
      <c r="Q192" s="11">
        <f>IF($A192="","",IF($H192="Ended",30,0))</f>
        <v/>
      </c>
      <c r="R192" s="11">
        <f>IF($A192="","",MIN(15,$J192*8))</f>
        <v/>
      </c>
      <c r="S192" s="11">
        <f>IF($A192="","",IF(AND($B192&lt;&gt;"",$K192&lt;90,SUM($L192:$N192)&gt;0),ROUND(0.25*SUM($L192:$N192),0),0))</f>
        <v/>
      </c>
      <c r="T192" s="11">
        <f>IF($A192="","",MIN(100,SUM($L192:$S192)))</f>
        <v/>
      </c>
      <c r="U192" s="12">
        <f>IF($A192="","",IF($T192&lt;25,"Safe",IF($T192&lt;50,"Watch","At-risk")))</f>
        <v/>
      </c>
      <c r="V192" s="12">
        <f>IF($A192="","",IF($T192=0,"—",INDEX($L$1:$S$1,1,MATCH(MAX($L192:$S192),$L192:$S192,0))))</f>
        <v/>
      </c>
    </row>
    <row r="193">
      <c r="A193" s="13" t="n"/>
      <c r="B193" s="9" t="n"/>
      <c r="C193" s="9" t="n"/>
      <c r="D193" s="10" t="n"/>
      <c r="E193" s="10" t="n"/>
      <c r="F193" s="10" t="n"/>
      <c r="G193" s="10" t="n"/>
      <c r="H193" s="13" t="n"/>
      <c r="I193" s="10" t="n"/>
      <c r="J193" s="10" t="n"/>
      <c r="K193" s="11">
        <f>IF($A193="","",IF($B193="","",MAX(0,'Settings'!$B$3-$B193)))</f>
        <v/>
      </c>
      <c r="L193" s="11">
        <f>IF($A193="","",IF(OR($H193="Paused",AND($B193&lt;&gt;"",'Settings'!$B$3-$B193&lt;=14)),0,IF($E193/12&gt;=0.75,IF(1-($D193/4)/($E193/12)&gt;=0.3,ROUND(30*(1-($D193/4)/($E193/12)),0),0),0)))</f>
        <v/>
      </c>
      <c r="M193" s="11">
        <f>IF($A193="","",IF(OR($H193="Paused",AND($B193&lt;&gt;"",'Settings'!$B$3-$B193&lt;=14)),0,IF($C193="",12,IF(MAX(0,'Settings'!$B$3-$C193)&lt;=7,0,IF(MAX(0,'Settings'!$B$3-$C193)&lt;=14,6,IF(MAX(0,'Settings'!$B$3-$C193)&lt;=21,12,IF(MAX(0,'Settings'!$B$3-$C193)&lt;=35,18,20)))))))</f>
        <v/>
      </c>
      <c r="N193" s="11">
        <f>IF($A193="","",IF(AND($H193&lt;&gt;"Paused",OR($B193="",'Settings'!$B$3-$B193&gt;14),$L193=0,IF($F193&gt;=2,1-$D193/$F193&gt;=0.5,FALSE)),10,0))</f>
        <v/>
      </c>
      <c r="O193" s="11">
        <f>IF($A193="","",MIN(16,$G193*8))</f>
        <v/>
      </c>
      <c r="P193" s="11">
        <f>IF($A193="","",IF($H193="Paused",14,IF($I193&gt;0,6,0)))</f>
        <v/>
      </c>
      <c r="Q193" s="11">
        <f>IF($A193="","",IF($H193="Ended",30,0))</f>
        <v/>
      </c>
      <c r="R193" s="11">
        <f>IF($A193="","",MIN(15,$J193*8))</f>
        <v/>
      </c>
      <c r="S193" s="11">
        <f>IF($A193="","",IF(AND($B193&lt;&gt;"",$K193&lt;90,SUM($L193:$N193)&gt;0),ROUND(0.25*SUM($L193:$N193),0),0))</f>
        <v/>
      </c>
      <c r="T193" s="11">
        <f>IF($A193="","",MIN(100,SUM($L193:$S193)))</f>
        <v/>
      </c>
      <c r="U193" s="12">
        <f>IF($A193="","",IF($T193&lt;25,"Safe",IF($T193&lt;50,"Watch","At-risk")))</f>
        <v/>
      </c>
      <c r="V193" s="12">
        <f>IF($A193="","",IF($T193=0,"—",INDEX($L$1:$S$1,1,MATCH(MAX($L193:$S193),$L193:$S193,0))))</f>
        <v/>
      </c>
    </row>
    <row r="194">
      <c r="A194" s="13" t="n"/>
      <c r="B194" s="9" t="n"/>
      <c r="C194" s="9" t="n"/>
      <c r="D194" s="10" t="n"/>
      <c r="E194" s="10" t="n"/>
      <c r="F194" s="10" t="n"/>
      <c r="G194" s="10" t="n"/>
      <c r="H194" s="13" t="n"/>
      <c r="I194" s="10" t="n"/>
      <c r="J194" s="10" t="n"/>
      <c r="K194" s="11">
        <f>IF($A194="","",IF($B194="","",MAX(0,'Settings'!$B$3-$B194)))</f>
        <v/>
      </c>
      <c r="L194" s="11">
        <f>IF($A194="","",IF(OR($H194="Paused",AND($B194&lt;&gt;"",'Settings'!$B$3-$B194&lt;=14)),0,IF($E194/12&gt;=0.75,IF(1-($D194/4)/($E194/12)&gt;=0.3,ROUND(30*(1-($D194/4)/($E194/12)),0),0),0)))</f>
        <v/>
      </c>
      <c r="M194" s="11">
        <f>IF($A194="","",IF(OR($H194="Paused",AND($B194&lt;&gt;"",'Settings'!$B$3-$B194&lt;=14)),0,IF($C194="",12,IF(MAX(0,'Settings'!$B$3-$C194)&lt;=7,0,IF(MAX(0,'Settings'!$B$3-$C194)&lt;=14,6,IF(MAX(0,'Settings'!$B$3-$C194)&lt;=21,12,IF(MAX(0,'Settings'!$B$3-$C194)&lt;=35,18,20)))))))</f>
        <v/>
      </c>
      <c r="N194" s="11">
        <f>IF($A194="","",IF(AND($H194&lt;&gt;"Paused",OR($B194="",'Settings'!$B$3-$B194&gt;14),$L194=0,IF($F194&gt;=2,1-$D194/$F194&gt;=0.5,FALSE)),10,0))</f>
        <v/>
      </c>
      <c r="O194" s="11">
        <f>IF($A194="","",MIN(16,$G194*8))</f>
        <v/>
      </c>
      <c r="P194" s="11">
        <f>IF($A194="","",IF($H194="Paused",14,IF($I194&gt;0,6,0)))</f>
        <v/>
      </c>
      <c r="Q194" s="11">
        <f>IF($A194="","",IF($H194="Ended",30,0))</f>
        <v/>
      </c>
      <c r="R194" s="11">
        <f>IF($A194="","",MIN(15,$J194*8))</f>
        <v/>
      </c>
      <c r="S194" s="11">
        <f>IF($A194="","",IF(AND($B194&lt;&gt;"",$K194&lt;90,SUM($L194:$N194)&gt;0),ROUND(0.25*SUM($L194:$N194),0),0))</f>
        <v/>
      </c>
      <c r="T194" s="11">
        <f>IF($A194="","",MIN(100,SUM($L194:$S194)))</f>
        <v/>
      </c>
      <c r="U194" s="12">
        <f>IF($A194="","",IF($T194&lt;25,"Safe",IF($T194&lt;50,"Watch","At-risk")))</f>
        <v/>
      </c>
      <c r="V194" s="12">
        <f>IF($A194="","",IF($T194=0,"—",INDEX($L$1:$S$1,1,MATCH(MAX($L194:$S194),$L194:$S194,0))))</f>
        <v/>
      </c>
    </row>
    <row r="195">
      <c r="A195" s="13" t="n"/>
      <c r="B195" s="9" t="n"/>
      <c r="C195" s="9" t="n"/>
      <c r="D195" s="10" t="n"/>
      <c r="E195" s="10" t="n"/>
      <c r="F195" s="10" t="n"/>
      <c r="G195" s="10" t="n"/>
      <c r="H195" s="13" t="n"/>
      <c r="I195" s="10" t="n"/>
      <c r="J195" s="10" t="n"/>
      <c r="K195" s="11">
        <f>IF($A195="","",IF($B195="","",MAX(0,'Settings'!$B$3-$B195)))</f>
        <v/>
      </c>
      <c r="L195" s="11">
        <f>IF($A195="","",IF(OR($H195="Paused",AND($B195&lt;&gt;"",'Settings'!$B$3-$B195&lt;=14)),0,IF($E195/12&gt;=0.75,IF(1-($D195/4)/($E195/12)&gt;=0.3,ROUND(30*(1-($D195/4)/($E195/12)),0),0),0)))</f>
        <v/>
      </c>
      <c r="M195" s="11">
        <f>IF($A195="","",IF(OR($H195="Paused",AND($B195&lt;&gt;"",'Settings'!$B$3-$B195&lt;=14)),0,IF($C195="",12,IF(MAX(0,'Settings'!$B$3-$C195)&lt;=7,0,IF(MAX(0,'Settings'!$B$3-$C195)&lt;=14,6,IF(MAX(0,'Settings'!$B$3-$C195)&lt;=21,12,IF(MAX(0,'Settings'!$B$3-$C195)&lt;=35,18,20)))))))</f>
        <v/>
      </c>
      <c r="N195" s="11">
        <f>IF($A195="","",IF(AND($H195&lt;&gt;"Paused",OR($B195="",'Settings'!$B$3-$B195&gt;14),$L195=0,IF($F195&gt;=2,1-$D195/$F195&gt;=0.5,FALSE)),10,0))</f>
        <v/>
      </c>
      <c r="O195" s="11">
        <f>IF($A195="","",MIN(16,$G195*8))</f>
        <v/>
      </c>
      <c r="P195" s="11">
        <f>IF($A195="","",IF($H195="Paused",14,IF($I195&gt;0,6,0)))</f>
        <v/>
      </c>
      <c r="Q195" s="11">
        <f>IF($A195="","",IF($H195="Ended",30,0))</f>
        <v/>
      </c>
      <c r="R195" s="11">
        <f>IF($A195="","",MIN(15,$J195*8))</f>
        <v/>
      </c>
      <c r="S195" s="11">
        <f>IF($A195="","",IF(AND($B195&lt;&gt;"",$K195&lt;90,SUM($L195:$N195)&gt;0),ROUND(0.25*SUM($L195:$N195),0),0))</f>
        <v/>
      </c>
      <c r="T195" s="11">
        <f>IF($A195="","",MIN(100,SUM($L195:$S195)))</f>
        <v/>
      </c>
      <c r="U195" s="12">
        <f>IF($A195="","",IF($T195&lt;25,"Safe",IF($T195&lt;50,"Watch","At-risk")))</f>
        <v/>
      </c>
      <c r="V195" s="12">
        <f>IF($A195="","",IF($T195=0,"—",INDEX($L$1:$S$1,1,MATCH(MAX($L195:$S195),$L195:$S195,0))))</f>
        <v/>
      </c>
    </row>
    <row r="196">
      <c r="A196" s="13" t="n"/>
      <c r="B196" s="9" t="n"/>
      <c r="C196" s="9" t="n"/>
      <c r="D196" s="10" t="n"/>
      <c r="E196" s="10" t="n"/>
      <c r="F196" s="10" t="n"/>
      <c r="G196" s="10" t="n"/>
      <c r="H196" s="13" t="n"/>
      <c r="I196" s="10" t="n"/>
      <c r="J196" s="10" t="n"/>
      <c r="K196" s="11">
        <f>IF($A196="","",IF($B196="","",MAX(0,'Settings'!$B$3-$B196)))</f>
        <v/>
      </c>
      <c r="L196" s="11">
        <f>IF($A196="","",IF(OR($H196="Paused",AND($B196&lt;&gt;"",'Settings'!$B$3-$B196&lt;=14)),0,IF($E196/12&gt;=0.75,IF(1-($D196/4)/($E196/12)&gt;=0.3,ROUND(30*(1-($D196/4)/($E196/12)),0),0),0)))</f>
        <v/>
      </c>
      <c r="M196" s="11">
        <f>IF($A196="","",IF(OR($H196="Paused",AND($B196&lt;&gt;"",'Settings'!$B$3-$B196&lt;=14)),0,IF($C196="",12,IF(MAX(0,'Settings'!$B$3-$C196)&lt;=7,0,IF(MAX(0,'Settings'!$B$3-$C196)&lt;=14,6,IF(MAX(0,'Settings'!$B$3-$C196)&lt;=21,12,IF(MAX(0,'Settings'!$B$3-$C196)&lt;=35,18,20)))))))</f>
        <v/>
      </c>
      <c r="N196" s="11">
        <f>IF($A196="","",IF(AND($H196&lt;&gt;"Paused",OR($B196="",'Settings'!$B$3-$B196&gt;14),$L196=0,IF($F196&gt;=2,1-$D196/$F196&gt;=0.5,FALSE)),10,0))</f>
        <v/>
      </c>
      <c r="O196" s="11">
        <f>IF($A196="","",MIN(16,$G196*8))</f>
        <v/>
      </c>
      <c r="P196" s="11">
        <f>IF($A196="","",IF($H196="Paused",14,IF($I196&gt;0,6,0)))</f>
        <v/>
      </c>
      <c r="Q196" s="11">
        <f>IF($A196="","",IF($H196="Ended",30,0))</f>
        <v/>
      </c>
      <c r="R196" s="11">
        <f>IF($A196="","",MIN(15,$J196*8))</f>
        <v/>
      </c>
      <c r="S196" s="11">
        <f>IF($A196="","",IF(AND($B196&lt;&gt;"",$K196&lt;90,SUM($L196:$N196)&gt;0),ROUND(0.25*SUM($L196:$N196),0),0))</f>
        <v/>
      </c>
      <c r="T196" s="11">
        <f>IF($A196="","",MIN(100,SUM($L196:$S196)))</f>
        <v/>
      </c>
      <c r="U196" s="12">
        <f>IF($A196="","",IF($T196&lt;25,"Safe",IF($T196&lt;50,"Watch","At-risk")))</f>
        <v/>
      </c>
      <c r="V196" s="12">
        <f>IF($A196="","",IF($T196=0,"—",INDEX($L$1:$S$1,1,MATCH(MAX($L196:$S196),$L196:$S196,0))))</f>
        <v/>
      </c>
    </row>
    <row r="197">
      <c r="A197" s="13" t="n"/>
      <c r="B197" s="9" t="n"/>
      <c r="C197" s="9" t="n"/>
      <c r="D197" s="10" t="n"/>
      <c r="E197" s="10" t="n"/>
      <c r="F197" s="10" t="n"/>
      <c r="G197" s="10" t="n"/>
      <c r="H197" s="13" t="n"/>
      <c r="I197" s="10" t="n"/>
      <c r="J197" s="10" t="n"/>
      <c r="K197" s="11">
        <f>IF($A197="","",IF($B197="","",MAX(0,'Settings'!$B$3-$B197)))</f>
        <v/>
      </c>
      <c r="L197" s="11">
        <f>IF($A197="","",IF(OR($H197="Paused",AND($B197&lt;&gt;"",'Settings'!$B$3-$B197&lt;=14)),0,IF($E197/12&gt;=0.75,IF(1-($D197/4)/($E197/12)&gt;=0.3,ROUND(30*(1-($D197/4)/($E197/12)),0),0),0)))</f>
        <v/>
      </c>
      <c r="M197" s="11">
        <f>IF($A197="","",IF(OR($H197="Paused",AND($B197&lt;&gt;"",'Settings'!$B$3-$B197&lt;=14)),0,IF($C197="",12,IF(MAX(0,'Settings'!$B$3-$C197)&lt;=7,0,IF(MAX(0,'Settings'!$B$3-$C197)&lt;=14,6,IF(MAX(0,'Settings'!$B$3-$C197)&lt;=21,12,IF(MAX(0,'Settings'!$B$3-$C197)&lt;=35,18,20)))))))</f>
        <v/>
      </c>
      <c r="N197" s="11">
        <f>IF($A197="","",IF(AND($H197&lt;&gt;"Paused",OR($B197="",'Settings'!$B$3-$B197&gt;14),$L197=0,IF($F197&gt;=2,1-$D197/$F197&gt;=0.5,FALSE)),10,0))</f>
        <v/>
      </c>
      <c r="O197" s="11">
        <f>IF($A197="","",MIN(16,$G197*8))</f>
        <v/>
      </c>
      <c r="P197" s="11">
        <f>IF($A197="","",IF($H197="Paused",14,IF($I197&gt;0,6,0)))</f>
        <v/>
      </c>
      <c r="Q197" s="11">
        <f>IF($A197="","",IF($H197="Ended",30,0))</f>
        <v/>
      </c>
      <c r="R197" s="11">
        <f>IF($A197="","",MIN(15,$J197*8))</f>
        <v/>
      </c>
      <c r="S197" s="11">
        <f>IF($A197="","",IF(AND($B197&lt;&gt;"",$K197&lt;90,SUM($L197:$N197)&gt;0),ROUND(0.25*SUM($L197:$N197),0),0))</f>
        <v/>
      </c>
      <c r="T197" s="11">
        <f>IF($A197="","",MIN(100,SUM($L197:$S197)))</f>
        <v/>
      </c>
      <c r="U197" s="12">
        <f>IF($A197="","",IF($T197&lt;25,"Safe",IF($T197&lt;50,"Watch","At-risk")))</f>
        <v/>
      </c>
      <c r="V197" s="12">
        <f>IF($A197="","",IF($T197=0,"—",INDEX($L$1:$S$1,1,MATCH(MAX($L197:$S197),$L197:$S197,0))))</f>
        <v/>
      </c>
    </row>
    <row r="198">
      <c r="A198" s="13" t="n"/>
      <c r="B198" s="9" t="n"/>
      <c r="C198" s="9" t="n"/>
      <c r="D198" s="10" t="n"/>
      <c r="E198" s="10" t="n"/>
      <c r="F198" s="10" t="n"/>
      <c r="G198" s="10" t="n"/>
      <c r="H198" s="13" t="n"/>
      <c r="I198" s="10" t="n"/>
      <c r="J198" s="10" t="n"/>
      <c r="K198" s="11">
        <f>IF($A198="","",IF($B198="","",MAX(0,'Settings'!$B$3-$B198)))</f>
        <v/>
      </c>
      <c r="L198" s="11">
        <f>IF($A198="","",IF(OR($H198="Paused",AND($B198&lt;&gt;"",'Settings'!$B$3-$B198&lt;=14)),0,IF($E198/12&gt;=0.75,IF(1-($D198/4)/($E198/12)&gt;=0.3,ROUND(30*(1-($D198/4)/($E198/12)),0),0),0)))</f>
        <v/>
      </c>
      <c r="M198" s="11">
        <f>IF($A198="","",IF(OR($H198="Paused",AND($B198&lt;&gt;"",'Settings'!$B$3-$B198&lt;=14)),0,IF($C198="",12,IF(MAX(0,'Settings'!$B$3-$C198)&lt;=7,0,IF(MAX(0,'Settings'!$B$3-$C198)&lt;=14,6,IF(MAX(0,'Settings'!$B$3-$C198)&lt;=21,12,IF(MAX(0,'Settings'!$B$3-$C198)&lt;=35,18,20)))))))</f>
        <v/>
      </c>
      <c r="N198" s="11">
        <f>IF($A198="","",IF(AND($H198&lt;&gt;"Paused",OR($B198="",'Settings'!$B$3-$B198&gt;14),$L198=0,IF($F198&gt;=2,1-$D198/$F198&gt;=0.5,FALSE)),10,0))</f>
        <v/>
      </c>
      <c r="O198" s="11">
        <f>IF($A198="","",MIN(16,$G198*8))</f>
        <v/>
      </c>
      <c r="P198" s="11">
        <f>IF($A198="","",IF($H198="Paused",14,IF($I198&gt;0,6,0)))</f>
        <v/>
      </c>
      <c r="Q198" s="11">
        <f>IF($A198="","",IF($H198="Ended",30,0))</f>
        <v/>
      </c>
      <c r="R198" s="11">
        <f>IF($A198="","",MIN(15,$J198*8))</f>
        <v/>
      </c>
      <c r="S198" s="11">
        <f>IF($A198="","",IF(AND($B198&lt;&gt;"",$K198&lt;90,SUM($L198:$N198)&gt;0),ROUND(0.25*SUM($L198:$N198),0),0))</f>
        <v/>
      </c>
      <c r="T198" s="11">
        <f>IF($A198="","",MIN(100,SUM($L198:$S198)))</f>
        <v/>
      </c>
      <c r="U198" s="12">
        <f>IF($A198="","",IF($T198&lt;25,"Safe",IF($T198&lt;50,"Watch","At-risk")))</f>
        <v/>
      </c>
      <c r="V198" s="12">
        <f>IF($A198="","",IF($T198=0,"—",INDEX($L$1:$S$1,1,MATCH(MAX($L198:$S198),$L198:$S198,0))))</f>
        <v/>
      </c>
    </row>
    <row r="199">
      <c r="A199" s="13" t="n"/>
      <c r="B199" s="9" t="n"/>
      <c r="C199" s="9" t="n"/>
      <c r="D199" s="10" t="n"/>
      <c r="E199" s="10" t="n"/>
      <c r="F199" s="10" t="n"/>
      <c r="G199" s="10" t="n"/>
      <c r="H199" s="13" t="n"/>
      <c r="I199" s="10" t="n"/>
      <c r="J199" s="10" t="n"/>
      <c r="K199" s="11">
        <f>IF($A199="","",IF($B199="","",MAX(0,'Settings'!$B$3-$B199)))</f>
        <v/>
      </c>
      <c r="L199" s="11">
        <f>IF($A199="","",IF(OR($H199="Paused",AND($B199&lt;&gt;"",'Settings'!$B$3-$B199&lt;=14)),0,IF($E199/12&gt;=0.75,IF(1-($D199/4)/($E199/12)&gt;=0.3,ROUND(30*(1-($D199/4)/($E199/12)),0),0),0)))</f>
        <v/>
      </c>
      <c r="M199" s="11">
        <f>IF($A199="","",IF(OR($H199="Paused",AND($B199&lt;&gt;"",'Settings'!$B$3-$B199&lt;=14)),0,IF($C199="",12,IF(MAX(0,'Settings'!$B$3-$C199)&lt;=7,0,IF(MAX(0,'Settings'!$B$3-$C199)&lt;=14,6,IF(MAX(0,'Settings'!$B$3-$C199)&lt;=21,12,IF(MAX(0,'Settings'!$B$3-$C199)&lt;=35,18,20)))))))</f>
        <v/>
      </c>
      <c r="N199" s="11">
        <f>IF($A199="","",IF(AND($H199&lt;&gt;"Paused",OR($B199="",'Settings'!$B$3-$B199&gt;14),$L199=0,IF($F199&gt;=2,1-$D199/$F199&gt;=0.5,FALSE)),10,0))</f>
        <v/>
      </c>
      <c r="O199" s="11">
        <f>IF($A199="","",MIN(16,$G199*8))</f>
        <v/>
      </c>
      <c r="P199" s="11">
        <f>IF($A199="","",IF($H199="Paused",14,IF($I199&gt;0,6,0)))</f>
        <v/>
      </c>
      <c r="Q199" s="11">
        <f>IF($A199="","",IF($H199="Ended",30,0))</f>
        <v/>
      </c>
      <c r="R199" s="11">
        <f>IF($A199="","",MIN(15,$J199*8))</f>
        <v/>
      </c>
      <c r="S199" s="11">
        <f>IF($A199="","",IF(AND($B199&lt;&gt;"",$K199&lt;90,SUM($L199:$N199)&gt;0),ROUND(0.25*SUM($L199:$N199),0),0))</f>
        <v/>
      </c>
      <c r="T199" s="11">
        <f>IF($A199="","",MIN(100,SUM($L199:$S199)))</f>
        <v/>
      </c>
      <c r="U199" s="12">
        <f>IF($A199="","",IF($T199&lt;25,"Safe",IF($T199&lt;50,"Watch","At-risk")))</f>
        <v/>
      </c>
      <c r="V199" s="12">
        <f>IF($A199="","",IF($T199=0,"—",INDEX($L$1:$S$1,1,MATCH(MAX($L199:$S199),$L199:$S199,0))))</f>
        <v/>
      </c>
    </row>
    <row r="200">
      <c r="A200" s="13" t="n"/>
      <c r="B200" s="9" t="n"/>
      <c r="C200" s="9" t="n"/>
      <c r="D200" s="10" t="n"/>
      <c r="E200" s="10" t="n"/>
      <c r="F200" s="10" t="n"/>
      <c r="G200" s="10" t="n"/>
      <c r="H200" s="13" t="n"/>
      <c r="I200" s="10" t="n"/>
      <c r="J200" s="10" t="n"/>
      <c r="K200" s="11">
        <f>IF($A200="","",IF($B200="","",MAX(0,'Settings'!$B$3-$B200)))</f>
        <v/>
      </c>
      <c r="L200" s="11">
        <f>IF($A200="","",IF(OR($H200="Paused",AND($B200&lt;&gt;"",'Settings'!$B$3-$B200&lt;=14)),0,IF($E200/12&gt;=0.75,IF(1-($D200/4)/($E200/12)&gt;=0.3,ROUND(30*(1-($D200/4)/($E200/12)),0),0),0)))</f>
        <v/>
      </c>
      <c r="M200" s="11">
        <f>IF($A200="","",IF(OR($H200="Paused",AND($B200&lt;&gt;"",'Settings'!$B$3-$B200&lt;=14)),0,IF($C200="",12,IF(MAX(0,'Settings'!$B$3-$C200)&lt;=7,0,IF(MAX(0,'Settings'!$B$3-$C200)&lt;=14,6,IF(MAX(0,'Settings'!$B$3-$C200)&lt;=21,12,IF(MAX(0,'Settings'!$B$3-$C200)&lt;=35,18,20)))))))</f>
        <v/>
      </c>
      <c r="N200" s="11">
        <f>IF($A200="","",IF(AND($H200&lt;&gt;"Paused",OR($B200="",'Settings'!$B$3-$B200&gt;14),$L200=0,IF($F200&gt;=2,1-$D200/$F200&gt;=0.5,FALSE)),10,0))</f>
        <v/>
      </c>
      <c r="O200" s="11">
        <f>IF($A200="","",MIN(16,$G200*8))</f>
        <v/>
      </c>
      <c r="P200" s="11">
        <f>IF($A200="","",IF($H200="Paused",14,IF($I200&gt;0,6,0)))</f>
        <v/>
      </c>
      <c r="Q200" s="11">
        <f>IF($A200="","",IF($H200="Ended",30,0))</f>
        <v/>
      </c>
      <c r="R200" s="11">
        <f>IF($A200="","",MIN(15,$J200*8))</f>
        <v/>
      </c>
      <c r="S200" s="11">
        <f>IF($A200="","",IF(AND($B200&lt;&gt;"",$K200&lt;90,SUM($L200:$N200)&gt;0),ROUND(0.25*SUM($L200:$N200),0),0))</f>
        <v/>
      </c>
      <c r="T200" s="11">
        <f>IF($A200="","",MIN(100,SUM($L200:$S200)))</f>
        <v/>
      </c>
      <c r="U200" s="12">
        <f>IF($A200="","",IF($T200&lt;25,"Safe",IF($T200&lt;50,"Watch","At-risk")))</f>
        <v/>
      </c>
      <c r="V200" s="12">
        <f>IF($A200="","",IF($T200=0,"—",INDEX($L$1:$S$1,1,MATCH(MAX($L200:$S200),$L200:$S200,0))))</f>
        <v/>
      </c>
    </row>
    <row r="201">
      <c r="A201" s="13" t="n"/>
      <c r="B201" s="9" t="n"/>
      <c r="C201" s="9" t="n"/>
      <c r="D201" s="10" t="n"/>
      <c r="E201" s="10" t="n"/>
      <c r="F201" s="10" t="n"/>
      <c r="G201" s="10" t="n"/>
      <c r="H201" s="13" t="n"/>
      <c r="I201" s="10" t="n"/>
      <c r="J201" s="10" t="n"/>
      <c r="K201" s="11">
        <f>IF($A201="","",IF($B201="","",MAX(0,'Settings'!$B$3-$B201)))</f>
        <v/>
      </c>
      <c r="L201" s="11">
        <f>IF($A201="","",IF(OR($H201="Paused",AND($B201&lt;&gt;"",'Settings'!$B$3-$B201&lt;=14)),0,IF($E201/12&gt;=0.75,IF(1-($D201/4)/($E201/12)&gt;=0.3,ROUND(30*(1-($D201/4)/($E201/12)),0),0),0)))</f>
        <v/>
      </c>
      <c r="M201" s="11">
        <f>IF($A201="","",IF(OR($H201="Paused",AND($B201&lt;&gt;"",'Settings'!$B$3-$B201&lt;=14)),0,IF($C201="",12,IF(MAX(0,'Settings'!$B$3-$C201)&lt;=7,0,IF(MAX(0,'Settings'!$B$3-$C201)&lt;=14,6,IF(MAX(0,'Settings'!$B$3-$C201)&lt;=21,12,IF(MAX(0,'Settings'!$B$3-$C201)&lt;=35,18,20)))))))</f>
        <v/>
      </c>
      <c r="N201" s="11">
        <f>IF($A201="","",IF(AND($H201&lt;&gt;"Paused",OR($B201="",'Settings'!$B$3-$B201&gt;14),$L201=0,IF($F201&gt;=2,1-$D201/$F201&gt;=0.5,FALSE)),10,0))</f>
        <v/>
      </c>
      <c r="O201" s="11">
        <f>IF($A201="","",MIN(16,$G201*8))</f>
        <v/>
      </c>
      <c r="P201" s="11">
        <f>IF($A201="","",IF($H201="Paused",14,IF($I201&gt;0,6,0)))</f>
        <v/>
      </c>
      <c r="Q201" s="11">
        <f>IF($A201="","",IF($H201="Ended",30,0))</f>
        <v/>
      </c>
      <c r="R201" s="11">
        <f>IF($A201="","",MIN(15,$J201*8))</f>
        <v/>
      </c>
      <c r="S201" s="11">
        <f>IF($A201="","",IF(AND($B201&lt;&gt;"",$K201&lt;90,SUM($L201:$N201)&gt;0),ROUND(0.25*SUM($L201:$N201),0),0))</f>
        <v/>
      </c>
      <c r="T201" s="11">
        <f>IF($A201="","",MIN(100,SUM($L201:$S201)))</f>
        <v/>
      </c>
      <c r="U201" s="12">
        <f>IF($A201="","",IF($T201&lt;25,"Safe",IF($T201&lt;50,"Watch","At-risk")))</f>
        <v/>
      </c>
      <c r="V201" s="12">
        <f>IF($A201="","",IF($T201=0,"—",INDEX($L$1:$S$1,1,MATCH(MAX($L201:$S201),$L201:$S201,0))))</f>
        <v/>
      </c>
    </row>
    <row r="202"/>
    <row r="203" ht="15" customHeight="1">
      <c r="A203" s="4" t="inlineStr">
        <is>
          <t>GymClass · Try the live demo → https://demo.gymclass.cc</t>
        </is>
      </c>
    </row>
  </sheetData>
  <autoFilter ref="A1:V201"/>
  <mergeCells count="1">
    <mergeCell ref="A203:V203"/>
  </mergeCells>
  <conditionalFormatting sqref="T2:T201">
    <cfRule type="cellIs" priority="1" operator="lessThan" dxfId="0">
      <formula>25</formula>
    </cfRule>
    <cfRule type="cellIs" priority="2" operator="between" dxfId="1">
      <formula>25</formula>
      <formula>49.999</formula>
    </cfRule>
    <cfRule type="cellIs" priority="3" operator="greaterThanOrEqual" dxfId="2">
      <formula>50</formula>
    </cfRule>
  </conditionalFormatting>
  <conditionalFormatting sqref="U2:U201">
    <cfRule type="expression" priority="4" dxfId="0">
      <formula>$U2="Safe"</formula>
    </cfRule>
    <cfRule type="expression" priority="5" dxfId="1">
      <formula>$U2="Watch"</formula>
    </cfRule>
    <cfRule type="expression" priority="6" dxfId="2">
      <formula>$U2="At-risk"</formula>
    </cfRule>
  </conditionalFormatting>
  <dataValidations count="2">
    <dataValidation sqref="H2:H201" showDropDown="0" showInputMessage="0" showErrorMessage="0" allowBlank="1" errorTitle="Choose a plan status" error="Select a value from the dropdown." type="list">
      <formula1>"Active,Paused,Ended"</formula1>
    </dataValidation>
    <dataValidation sqref="D2:D201 E2:E201 F2:F201 G2:G201 I2:I201 J2:J201" showDropDown="0" showInputMessage="0" showErrorMessage="0" allowBlank="1" type="whole" operator="greaterThanOrEqual">
      <formula1>0</formula1>
    </dataValidation>
  </dataValidations>
  <hyperlinks>
    <hyperlink xmlns:r="http://schemas.openxmlformats.org/officeDocument/2006/relationships" ref="A203" r:id="rId1"/>
  </hyperlinks>
  <pageMargins left="0.25" right="0.25" top="0.5" bottom="0.5" header="0.5" footer="0.5"/>
  <pageSetup orientation="landscape" paperSize="8" fitToHeight="0" fitToWidth="1"/>
  <headerFooter>
    <oddHeader/>
    <oddFooter>&amp;C&amp;"Arial,Regular"&amp;8 GymClass · Try the live demo → https://demo.gymclass.cc</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D12"/>
  <sheetViews>
    <sheetView showGridLines="0" workbookViewId="0">
      <pane ySplit="1" topLeftCell="A2" activePane="bottomLeft" state="frozen"/>
      <selection pane="bottomLeft" activeCell="A1" sqref="A1"/>
    </sheetView>
  </sheetViews>
  <sheetFormatPr baseColWidth="8" defaultRowHeight="15"/>
  <cols>
    <col width="40" customWidth="1" min="1" max="1"/>
    <col width="20" customWidth="1" min="2" max="2"/>
    <col width="13" customWidth="1" min="3" max="3"/>
    <col width="13" customWidth="1" min="4" max="4"/>
  </cols>
  <sheetData>
    <row r="1" ht="24" customHeight="1">
      <c r="A1" s="5" t="inlineStr">
        <is>
          <t>Risk summary</t>
        </is>
      </c>
    </row>
    <row r="2" ht="15" customHeight="1">
      <c r="A2" s="14" t="inlineStr">
        <is>
          <t>Safe students</t>
        </is>
      </c>
      <c r="B2" s="12">
        <f>COUNTIF('Students'!$U$2:$U$201,"Safe")</f>
        <v/>
      </c>
    </row>
    <row r="3" ht="15" customHeight="1">
      <c r="A3" s="14" t="inlineStr">
        <is>
          <t>Watch students</t>
        </is>
      </c>
      <c r="B3" s="12">
        <f>COUNTIF('Students'!$U$2:$U$201,"Watch")</f>
        <v/>
      </c>
    </row>
    <row r="4" ht="15" customHeight="1">
      <c r="A4" s="14" t="inlineStr">
        <is>
          <t>At-risk students</t>
        </is>
      </c>
      <c r="B4" s="12">
        <f>COUNTIF('Students'!$U$2:$U$201,"At-risk")</f>
        <v/>
      </c>
    </row>
    <row r="5" ht="15" customHeight="1">
      <c r="A5" s="14" t="inlineStr">
        <is>
          <t>Active students</t>
        </is>
      </c>
      <c r="B5" s="12">
        <f>COUNTIFS('Students'!$A$2:$A$201,"&lt;&gt;",'Students'!$H$2:$H$201,"&lt;&gt;Ended")</f>
        <v/>
      </c>
    </row>
    <row r="6" ht="15" customHeight="1">
      <c r="A6" s="14" t="inlineStr">
        <is>
          <t>At-risk share (active students)</t>
        </is>
      </c>
      <c r="B6" s="15">
        <f>IF(B5=0,0,COUNTIFS('Students'!$A$2:$A$201,"&lt;&gt;",'Students'!$H$2:$H$201,"&lt;&gt;Ended",'Students'!$U$2:$U$201,"At-risk")/B5)</f>
        <v/>
      </c>
    </row>
    <row r="7" ht="15" customHeight="1">
      <c r="A7" s="14" t="inlineStr">
        <is>
          <t>Retention health (approx.)</t>
        </is>
      </c>
      <c r="B7" s="16">
        <f>ROUND(100*MAX(0,MIN(1,1-B6/0.4)),0)</f>
        <v/>
      </c>
    </row>
    <row r="8"/>
    <row r="9" ht="30" customHeight="1">
      <c r="A9" s="2" t="inlineStr">
        <is>
          <t>Retention health mirrors the retention component of the owner-dashboard health score: 100 × clamp(1 − at-risk share among active (non-ended) students ÷ 0.40).</t>
        </is>
      </c>
    </row>
    <row r="10"/>
    <row r="11"/>
    <row r="12" ht="15" customHeight="1">
      <c r="A12" s="4" t="inlineStr">
        <is>
          <t>GymClass · Try the live demo → https://demo.gymclass.cc</t>
        </is>
      </c>
    </row>
  </sheetData>
  <mergeCells count="3">
    <mergeCell ref="A9:D10"/>
    <mergeCell ref="A12:D12"/>
    <mergeCell ref="A1:B1"/>
  </mergeCells>
  <conditionalFormatting sqref="B7">
    <cfRule type="cellIs" priority="1" operator="greaterThanOrEqual" dxfId="0">
      <formula>75</formula>
    </cfRule>
    <cfRule type="cellIs" priority="2" operator="between" dxfId="1">
      <formula>50</formula>
      <formula>74</formula>
    </cfRule>
    <cfRule type="cellIs" priority="3" operator="lessThan" dxfId="2">
      <formula>50</formula>
    </cfRule>
  </conditionalFormatting>
  <hyperlinks>
    <hyperlink xmlns:r="http://schemas.openxmlformats.org/officeDocument/2006/relationships" ref="A12" r:id="rId1"/>
  </hyperlinks>
  <pageMargins left="0.25" right="0.25" top="0.5" bottom="0.5" header="0.5" footer="0.5"/>
  <pageSetup fitToHeight="0" fitToWidth="1"/>
  <headerFooter>
    <oddHeader/>
    <oddFooter>&amp;C&amp;"Arial,Regular"&amp;8 GymClass · Try the live demo → https://demo.gymclass.cc</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GymClass</dc:creator>
  <dcterms:created xsi:type="dcterms:W3CDTF">2025-01-01T00:00:00Z</dcterms:created>
  <dcterms:modified xsi:type="dcterms:W3CDTF">2025-01-01T00:00:00Z</dcterms:modified>
  <cp:lastModifiedBy>GymClass</cp:lastModifiedBy>
</cp:coreProperties>
</file>